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comments3.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3.xml" ContentType="application/vnd.openxmlformats-officedocument.spreadsheetml.tab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codeName="ThisWorkbook"/>
  <mc:AlternateContent xmlns:mc="http://schemas.openxmlformats.org/markup-compatibility/2006">
    <mc:Choice Requires="x15">
      <x15ac:absPath xmlns:x15ac="http://schemas.microsoft.com/office/spreadsheetml/2010/11/ac" url="https://hortnz.sharepoint.com/sites/GrowingChangeCollaboration/Shared Documents/Codes of Practice WG/2025 Review/9. 2026 COPs for publication/2. Excel workbooks &amp; videos/"/>
    </mc:Choice>
  </mc:AlternateContent>
  <xr:revisionPtr revIDLastSave="0" documentId="8_{4E6AF0D5-6BDC-400E-ABD4-579E81109D41}" xr6:coauthVersionLast="47" xr6:coauthVersionMax="47" xr10:uidLastSave="{00000000-0000-0000-0000-000000000000}"/>
  <workbookProtection workbookAlgorithmName="SHA-512" workbookHashValue="klD2NqxIO1vULGnMvy9bBBQD7AsZmVsz96r/gCsOW/bQFvjKQiPS5oq4ET6DUi41wLmdODLY642OazwPTr9ggg==" workbookSaltValue="pejFSCcT+dbLPbq9RSDMaA==" workbookSpinCount="100000" lockStructure="1"/>
  <bookViews>
    <workbookView xWindow="-14250" yWindow="-16320" windowWidth="29040" windowHeight="15720" tabRatio="806" xr2:uid="{42D04290-462E-4F50-A793-8636BA31BB92}"/>
  </bookViews>
  <sheets>
    <sheet name="Workbook guide" sheetId="13" r:id="rId1"/>
    <sheet name="Calculator" sheetId="17" r:id="rId2"/>
    <sheet name="1. Overview" sheetId="14" r:id="rId3"/>
    <sheet name="2. Production site" sheetId="6" r:id="rId4"/>
    <sheet name="3. Application site" sheetId="7" r:id="rId5"/>
    <sheet name="4. Application record" sheetId="15" r:id="rId6"/>
    <sheet name="5. Reporting dashboard" sheetId="26" r:id="rId7"/>
    <sheet name="6. Other actions" sheetId="24" r:id="rId8"/>
    <sheet name="Maintenance record" sheetId="23" r:id="rId9"/>
    <sheet name="SheetData" sheetId="8" state="hidden" r:id="rId10"/>
    <sheet name="Calculations" sheetId="18" state="hidden" r:id="rId11"/>
  </sheets>
  <definedNames>
    <definedName name="_xlnm.Print_Area" localSheetId="2">'1. Overview'!$B$1:$L$18</definedName>
    <definedName name="_xlnm.Print_Area" localSheetId="3">'2. Production site'!$B$7:$F$22</definedName>
    <definedName name="_xlnm.Print_Area" localSheetId="4">'3. Application site'!$B$4:$J$31</definedName>
    <definedName name="_xlnm.Print_Area" localSheetId="5">'4. Application record'!$B$1:$Q$55</definedName>
    <definedName name="_xlnm.Print_Area" localSheetId="6">'5. Reporting dashboard'!$B$6:$M$42</definedName>
    <definedName name="_xlnm.Print_Area" localSheetId="7">'6. Other actions'!$B$1:$J$29</definedName>
    <definedName name="_xlnm.Print_Area" localSheetId="1">Calculator!$B$1:$K$35</definedName>
    <definedName name="_xlnm.Print_Area" localSheetId="8">'Maintenance record'!$B$1:$D$54</definedName>
    <definedName name="_xlnm.Print_Area" localSheetId="0">'Workbook guide'!$B$1:$O$17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17" l="1"/>
  <c r="S23" i="26"/>
  <c r="V256" i="15"/>
  <c r="V257" i="15"/>
  <c r="V258" i="15"/>
  <c r="V259" i="15"/>
  <c r="V260" i="15"/>
  <c r="V261" i="15"/>
  <c r="V262" i="15"/>
  <c r="V263" i="15"/>
  <c r="V264" i="15"/>
  <c r="V265" i="15"/>
  <c r="V266" i="15"/>
  <c r="V267" i="15"/>
  <c r="V268" i="15"/>
  <c r="V269" i="15"/>
  <c r="V270" i="15"/>
  <c r="V271" i="15"/>
  <c r="V272" i="15"/>
  <c r="V273" i="15"/>
  <c r="V274" i="15"/>
  <c r="V275" i="15"/>
  <c r="V276" i="15"/>
  <c r="V277" i="15"/>
  <c r="V278" i="15"/>
  <c r="V279" i="15"/>
  <c r="V280" i="15"/>
  <c r="V281" i="15"/>
  <c r="V282" i="15"/>
  <c r="V283" i="15"/>
  <c r="V284" i="15"/>
  <c r="V285" i="15"/>
  <c r="V286" i="15"/>
  <c r="V287" i="15"/>
  <c r="V288" i="15"/>
  <c r="V289" i="15"/>
  <c r="V290" i="15"/>
  <c r="V291" i="15"/>
  <c r="V292" i="15"/>
  <c r="V293" i="15"/>
  <c r="V294" i="15"/>
  <c r="V295" i="15"/>
  <c r="V296" i="15"/>
  <c r="V297" i="15"/>
  <c r="V298" i="15"/>
  <c r="V299" i="15"/>
  <c r="V300" i="15"/>
  <c r="V301" i="15"/>
  <c r="V302" i="15"/>
  <c r="V303" i="15"/>
  <c r="V304" i="15"/>
  <c r="V305" i="15"/>
  <c r="U256" i="15"/>
  <c r="U257" i="15"/>
  <c r="U258" i="15"/>
  <c r="U259" i="15"/>
  <c r="U260" i="15"/>
  <c r="U261" i="15"/>
  <c r="U262" i="15"/>
  <c r="U263" i="15"/>
  <c r="U264" i="15"/>
  <c r="U265" i="15"/>
  <c r="U266" i="15"/>
  <c r="U267" i="15"/>
  <c r="U268" i="15"/>
  <c r="U269" i="15"/>
  <c r="U270" i="15"/>
  <c r="U271" i="15"/>
  <c r="U272" i="15"/>
  <c r="U273" i="15"/>
  <c r="U274" i="15"/>
  <c r="U275" i="15"/>
  <c r="U276" i="15"/>
  <c r="U277" i="15"/>
  <c r="U278" i="15"/>
  <c r="U279" i="15"/>
  <c r="U280" i="15"/>
  <c r="U281" i="15"/>
  <c r="U282" i="15"/>
  <c r="U283" i="15"/>
  <c r="U284" i="15"/>
  <c r="U285" i="15"/>
  <c r="U286" i="15"/>
  <c r="U287" i="15"/>
  <c r="U288" i="15"/>
  <c r="U289" i="15"/>
  <c r="U290" i="15"/>
  <c r="U291" i="15"/>
  <c r="U292" i="15"/>
  <c r="U293" i="15"/>
  <c r="U294" i="15"/>
  <c r="U295" i="15"/>
  <c r="U296" i="15"/>
  <c r="U297" i="15"/>
  <c r="U298" i="15"/>
  <c r="U299" i="15"/>
  <c r="U300" i="15"/>
  <c r="U301" i="15"/>
  <c r="U302" i="15"/>
  <c r="U303" i="15"/>
  <c r="U304" i="15"/>
  <c r="U305" i="15"/>
  <c r="U52" i="8"/>
  <c r="BF20" i="8"/>
  <c r="G300" i="15" l="1"/>
  <c r="G301" i="15"/>
  <c r="G302" i="15"/>
  <c r="G303" i="15"/>
  <c r="G304" i="15"/>
  <c r="G305" i="15"/>
  <c r="O300" i="15"/>
  <c r="O301" i="15"/>
  <c r="O302" i="15"/>
  <c r="O303" i="15"/>
  <c r="O304" i="15"/>
  <c r="O305" i="15"/>
  <c r="R300" i="15"/>
  <c r="R301" i="15"/>
  <c r="R302" i="15"/>
  <c r="R303" i="15"/>
  <c r="R304" i="15"/>
  <c r="R305" i="15"/>
  <c r="E300" i="15"/>
  <c r="Q300" i="15" s="1"/>
  <c r="E301" i="15"/>
  <c r="Q301" i="15" s="1"/>
  <c r="E302" i="15"/>
  <c r="Q302" i="15" s="1"/>
  <c r="E303" i="15"/>
  <c r="Q303" i="15" s="1"/>
  <c r="E304" i="15"/>
  <c r="N304" i="15" s="1"/>
  <c r="E305" i="15"/>
  <c r="N305" i="15" s="1"/>
  <c r="G292" i="15"/>
  <c r="G293" i="15"/>
  <c r="G294" i="15"/>
  <c r="G295" i="15"/>
  <c r="G296" i="15"/>
  <c r="G297" i="15"/>
  <c r="G298" i="15"/>
  <c r="G299" i="15"/>
  <c r="O292" i="15"/>
  <c r="O293" i="15"/>
  <c r="O294" i="15"/>
  <c r="O295" i="15"/>
  <c r="O296" i="15"/>
  <c r="O297" i="15"/>
  <c r="O298" i="15"/>
  <c r="O299" i="15"/>
  <c r="Q295" i="15"/>
  <c r="R292" i="15"/>
  <c r="R293" i="15"/>
  <c r="R294" i="15"/>
  <c r="R295" i="15"/>
  <c r="R296" i="15"/>
  <c r="R297" i="15"/>
  <c r="R298" i="15"/>
  <c r="R299" i="15"/>
  <c r="E292" i="15"/>
  <c r="N292" i="15" s="1"/>
  <c r="E293" i="15"/>
  <c r="N293" i="15" s="1"/>
  <c r="E294" i="15"/>
  <c r="N294" i="15" s="1"/>
  <c r="E295" i="15"/>
  <c r="N295" i="15" s="1"/>
  <c r="E296" i="15"/>
  <c r="N296" i="15" s="1"/>
  <c r="E297" i="15"/>
  <c r="Q297" i="15" s="1"/>
  <c r="E298" i="15"/>
  <c r="Q298" i="15" s="1"/>
  <c r="E299" i="15"/>
  <c r="Q299" i="15" s="1"/>
  <c r="G281" i="15"/>
  <c r="G282" i="15"/>
  <c r="G283" i="15"/>
  <c r="G284" i="15"/>
  <c r="G285" i="15"/>
  <c r="G286" i="15"/>
  <c r="G287" i="15"/>
  <c r="G288" i="15"/>
  <c r="G289" i="15"/>
  <c r="G290" i="15"/>
  <c r="G291" i="15"/>
  <c r="O281" i="15"/>
  <c r="O282" i="15"/>
  <c r="O283" i="15"/>
  <c r="O284" i="15"/>
  <c r="O285" i="15"/>
  <c r="O286" i="15"/>
  <c r="O287" i="15"/>
  <c r="O288" i="15"/>
  <c r="O289" i="15"/>
  <c r="O290" i="15"/>
  <c r="O291" i="15"/>
  <c r="R281" i="15"/>
  <c r="R282" i="15"/>
  <c r="R283" i="15"/>
  <c r="R284" i="15"/>
  <c r="R285" i="15"/>
  <c r="R286" i="15"/>
  <c r="R287" i="15"/>
  <c r="R288" i="15"/>
  <c r="R289" i="15"/>
  <c r="R290" i="15"/>
  <c r="R291" i="15"/>
  <c r="E280" i="15"/>
  <c r="Q280" i="15" s="1"/>
  <c r="E281" i="15"/>
  <c r="Q281" i="15" s="1"/>
  <c r="E282" i="15"/>
  <c r="Q282" i="15" s="1"/>
  <c r="E283" i="15"/>
  <c r="Q283" i="15" s="1"/>
  <c r="E284" i="15"/>
  <c r="N284" i="15" s="1"/>
  <c r="E285" i="15"/>
  <c r="Q285" i="15" s="1"/>
  <c r="E286" i="15"/>
  <c r="N286" i="15" s="1"/>
  <c r="E287" i="15"/>
  <c r="N287" i="15" s="1"/>
  <c r="E288" i="15"/>
  <c r="N288" i="15" s="1"/>
  <c r="E289" i="15"/>
  <c r="Q289" i="15" s="1"/>
  <c r="E290" i="15"/>
  <c r="N290" i="15" s="1"/>
  <c r="E291" i="15"/>
  <c r="N291" i="15" s="1"/>
  <c r="G274" i="15"/>
  <c r="G275" i="15"/>
  <c r="G276" i="15"/>
  <c r="G277" i="15"/>
  <c r="G278" i="15"/>
  <c r="G279" i="15"/>
  <c r="G280" i="15"/>
  <c r="O274" i="15"/>
  <c r="O275" i="15"/>
  <c r="O276" i="15"/>
  <c r="O277" i="15"/>
  <c r="O278" i="15"/>
  <c r="O279" i="15"/>
  <c r="O280" i="15"/>
  <c r="R274" i="15"/>
  <c r="R275" i="15"/>
  <c r="R276" i="15"/>
  <c r="R277" i="15"/>
  <c r="R278" i="15"/>
  <c r="R279" i="15"/>
  <c r="R280" i="15"/>
  <c r="E274" i="15"/>
  <c r="N274" i="15" s="1"/>
  <c r="E275" i="15"/>
  <c r="Q275" i="15" s="1"/>
  <c r="E276" i="15"/>
  <c r="Q276" i="15" s="1"/>
  <c r="E277" i="15"/>
  <c r="N277" i="15" s="1"/>
  <c r="E278" i="15"/>
  <c r="N278" i="15" s="1"/>
  <c r="E279" i="15"/>
  <c r="Q279" i="15" s="1"/>
  <c r="G268" i="15"/>
  <c r="G269" i="15"/>
  <c r="G270" i="15"/>
  <c r="G271" i="15"/>
  <c r="G272" i="15"/>
  <c r="G273" i="15"/>
  <c r="O268" i="15"/>
  <c r="O269" i="15"/>
  <c r="O270" i="15"/>
  <c r="O271" i="15"/>
  <c r="O272" i="15"/>
  <c r="O273" i="15"/>
  <c r="R268" i="15"/>
  <c r="R269" i="15"/>
  <c r="R270" i="15"/>
  <c r="R271" i="15"/>
  <c r="R272" i="15"/>
  <c r="R273" i="15"/>
  <c r="E268" i="15"/>
  <c r="Q268" i="15" s="1"/>
  <c r="E269" i="15"/>
  <c r="N269" i="15" s="1"/>
  <c r="E270" i="15"/>
  <c r="N270" i="15" s="1"/>
  <c r="E271" i="15"/>
  <c r="N271" i="15" s="1"/>
  <c r="E272" i="15"/>
  <c r="N272" i="15" s="1"/>
  <c r="E273" i="15"/>
  <c r="N273" i="15" s="1"/>
  <c r="G259" i="15"/>
  <c r="G260" i="15"/>
  <c r="G261" i="15"/>
  <c r="G262" i="15"/>
  <c r="G263" i="15"/>
  <c r="G264" i="15"/>
  <c r="G265" i="15"/>
  <c r="G266" i="15"/>
  <c r="G267" i="15"/>
  <c r="O259" i="15"/>
  <c r="O260" i="15"/>
  <c r="O261" i="15"/>
  <c r="O262" i="15"/>
  <c r="O263" i="15"/>
  <c r="O264" i="15"/>
  <c r="O265" i="15"/>
  <c r="O266" i="15"/>
  <c r="O267" i="15"/>
  <c r="R259" i="15"/>
  <c r="R260" i="15"/>
  <c r="R261" i="15"/>
  <c r="R262" i="15"/>
  <c r="R263" i="15"/>
  <c r="R264" i="15"/>
  <c r="R265" i="15"/>
  <c r="R266" i="15"/>
  <c r="R267" i="15"/>
  <c r="E259" i="15"/>
  <c r="N259" i="15" s="1"/>
  <c r="E260" i="15"/>
  <c r="N260" i="15" s="1"/>
  <c r="E261" i="15"/>
  <c r="N261" i="15" s="1"/>
  <c r="E262" i="15"/>
  <c r="Q262" i="15" s="1"/>
  <c r="E263" i="15"/>
  <c r="N263" i="15" s="1"/>
  <c r="E264" i="15"/>
  <c r="Q264" i="15" s="1"/>
  <c r="E265" i="15"/>
  <c r="Q265" i="15" s="1"/>
  <c r="E266" i="15"/>
  <c r="N266" i="15" s="1"/>
  <c r="E267" i="15"/>
  <c r="Q267" i="15" s="1"/>
  <c r="E258" i="15"/>
  <c r="Q258" i="15" s="1"/>
  <c r="G258" i="15"/>
  <c r="O258" i="15"/>
  <c r="R258" i="15"/>
  <c r="E257" i="15"/>
  <c r="N257" i="15" s="1"/>
  <c r="G257" i="15"/>
  <c r="O257" i="15"/>
  <c r="R257" i="15"/>
  <c r="E256" i="15"/>
  <c r="Q256" i="15" s="1"/>
  <c r="G256" i="15"/>
  <c r="O256" i="15"/>
  <c r="R256" i="15"/>
  <c r="U64" i="8"/>
  <c r="R64" i="8"/>
  <c r="D47" i="17"/>
  <c r="D48" i="17"/>
  <c r="C47" i="17"/>
  <c r="C48" i="17" s="1"/>
  <c r="T69" i="8"/>
  <c r="R73" i="8"/>
  <c r="U69" i="8"/>
  <c r="R72" i="8"/>
  <c r="W27" i="8"/>
  <c r="X31" i="8"/>
  <c r="W31" i="8"/>
  <c r="X30" i="8"/>
  <c r="W30" i="8"/>
  <c r="X29" i="8"/>
  <c r="W29" i="8"/>
  <c r="X28" i="8"/>
  <c r="W28" i="8"/>
  <c r="X27" i="8"/>
  <c r="X26" i="8"/>
  <c r="W26" i="8"/>
  <c r="W25" i="8"/>
  <c r="X25" i="8"/>
  <c r="Q8" i="8"/>
  <c r="Q9" i="8"/>
  <c r="Q10" i="8"/>
  <c r="Q11" i="8"/>
  <c r="Q12" i="8"/>
  <c r="Q13" i="8"/>
  <c r="Q14" i="8"/>
  <c r="Q15" i="8"/>
  <c r="Q16" i="8"/>
  <c r="Q17" i="8"/>
  <c r="Q18" i="8"/>
  <c r="Q7" i="8"/>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G51" i="15"/>
  <c r="G52" i="15"/>
  <c r="G53" i="15"/>
  <c r="G54" i="15"/>
  <c r="G55" i="15"/>
  <c r="G56" i="15"/>
  <c r="G57" i="15"/>
  <c r="G58" i="15"/>
  <c r="G59" i="15"/>
  <c r="G60" i="15"/>
  <c r="G61" i="15"/>
  <c r="G62" i="15"/>
  <c r="G63" i="15"/>
  <c r="G64" i="15"/>
  <c r="G65" i="15"/>
  <c r="G66" i="15"/>
  <c r="G67" i="15"/>
  <c r="G68" i="15"/>
  <c r="G69" i="15"/>
  <c r="G70" i="15"/>
  <c r="G71" i="15"/>
  <c r="G72" i="15"/>
  <c r="G73" i="15"/>
  <c r="G74" i="15"/>
  <c r="G75" i="15"/>
  <c r="G76" i="15"/>
  <c r="G77" i="15"/>
  <c r="G78" i="15"/>
  <c r="G79" i="15"/>
  <c r="G80" i="15"/>
  <c r="G81" i="15"/>
  <c r="G82" i="15"/>
  <c r="G83" i="15"/>
  <c r="G84" i="15"/>
  <c r="G85" i="15"/>
  <c r="G86" i="15"/>
  <c r="G87" i="15"/>
  <c r="G88" i="15"/>
  <c r="G89" i="15"/>
  <c r="G90" i="15"/>
  <c r="G91" i="15"/>
  <c r="G92" i="15"/>
  <c r="G93" i="15"/>
  <c r="G94" i="15"/>
  <c r="G95" i="15"/>
  <c r="G96" i="15"/>
  <c r="G97" i="15"/>
  <c r="G98" i="15"/>
  <c r="G99" i="15"/>
  <c r="G100" i="15"/>
  <c r="G101" i="15"/>
  <c r="G102" i="15"/>
  <c r="G103" i="15"/>
  <c r="G104" i="15"/>
  <c r="G105" i="15"/>
  <c r="G106" i="15"/>
  <c r="G107" i="15"/>
  <c r="G108" i="15"/>
  <c r="G109" i="15"/>
  <c r="G110" i="15"/>
  <c r="G111" i="15"/>
  <c r="G112" i="15"/>
  <c r="G113" i="15"/>
  <c r="G114" i="15"/>
  <c r="G115" i="15"/>
  <c r="G116" i="15"/>
  <c r="G117" i="15"/>
  <c r="G118" i="15"/>
  <c r="G119" i="15"/>
  <c r="G120" i="15"/>
  <c r="G121" i="15"/>
  <c r="G122" i="15"/>
  <c r="G123" i="15"/>
  <c r="G124" i="15"/>
  <c r="G125" i="15"/>
  <c r="G126" i="15"/>
  <c r="G127" i="15"/>
  <c r="G128" i="15"/>
  <c r="G129" i="15"/>
  <c r="G130" i="15"/>
  <c r="G131" i="15"/>
  <c r="G132" i="15"/>
  <c r="G133" i="15"/>
  <c r="G134" i="15"/>
  <c r="G135" i="15"/>
  <c r="G136" i="15"/>
  <c r="G137" i="15"/>
  <c r="G138" i="15"/>
  <c r="G139" i="15"/>
  <c r="G140" i="15"/>
  <c r="G141" i="15"/>
  <c r="G142" i="15"/>
  <c r="G143" i="15"/>
  <c r="G144" i="15"/>
  <c r="G145" i="15"/>
  <c r="G146" i="15"/>
  <c r="G147" i="15"/>
  <c r="G148" i="15"/>
  <c r="G149" i="15"/>
  <c r="G150" i="15"/>
  <c r="G151" i="15"/>
  <c r="G152" i="15"/>
  <c r="G153" i="15"/>
  <c r="G154" i="15"/>
  <c r="G155" i="15"/>
  <c r="G156" i="15"/>
  <c r="G157" i="15"/>
  <c r="G158" i="15"/>
  <c r="G159" i="15"/>
  <c r="G160" i="15"/>
  <c r="G161" i="15"/>
  <c r="G162" i="15"/>
  <c r="G163" i="15"/>
  <c r="G164" i="15"/>
  <c r="G165" i="15"/>
  <c r="G166" i="15"/>
  <c r="G167" i="15"/>
  <c r="G168" i="15"/>
  <c r="G169" i="15"/>
  <c r="G170" i="15"/>
  <c r="G171" i="15"/>
  <c r="G172" i="15"/>
  <c r="G173" i="15"/>
  <c r="G174" i="15"/>
  <c r="G175" i="15"/>
  <c r="G176" i="15"/>
  <c r="G177" i="15"/>
  <c r="G178" i="15"/>
  <c r="G179" i="15"/>
  <c r="G180" i="15"/>
  <c r="G181" i="15"/>
  <c r="G182" i="15"/>
  <c r="G183" i="15"/>
  <c r="G184" i="15"/>
  <c r="G185" i="15"/>
  <c r="G186" i="15"/>
  <c r="G187" i="15"/>
  <c r="G188" i="15"/>
  <c r="G189" i="15"/>
  <c r="G190" i="15"/>
  <c r="G191" i="15"/>
  <c r="G192" i="15"/>
  <c r="G193" i="15"/>
  <c r="G194" i="15"/>
  <c r="G195" i="15"/>
  <c r="G196" i="15"/>
  <c r="G197" i="15"/>
  <c r="G198" i="15"/>
  <c r="G199" i="15"/>
  <c r="G200" i="15"/>
  <c r="G201" i="15"/>
  <c r="G202" i="15"/>
  <c r="G203" i="15"/>
  <c r="G204" i="15"/>
  <c r="G205" i="15"/>
  <c r="G206" i="15"/>
  <c r="G207" i="15"/>
  <c r="G208" i="15"/>
  <c r="G209" i="15"/>
  <c r="G210" i="15"/>
  <c r="G211" i="15"/>
  <c r="G212" i="15"/>
  <c r="G213" i="15"/>
  <c r="G214" i="15"/>
  <c r="G215" i="15"/>
  <c r="G216" i="15"/>
  <c r="G217" i="15"/>
  <c r="G218" i="15"/>
  <c r="G219" i="15"/>
  <c r="G220" i="15"/>
  <c r="G221" i="15"/>
  <c r="G222" i="15"/>
  <c r="G223" i="15"/>
  <c r="G224" i="15"/>
  <c r="G225" i="15"/>
  <c r="G226" i="15"/>
  <c r="G227" i="15"/>
  <c r="G228" i="15"/>
  <c r="G229" i="15"/>
  <c r="G230" i="15"/>
  <c r="G231" i="15"/>
  <c r="G232" i="15"/>
  <c r="G233" i="15"/>
  <c r="G234" i="15"/>
  <c r="G235" i="15"/>
  <c r="G236" i="15"/>
  <c r="G237" i="15"/>
  <c r="G238" i="15"/>
  <c r="G239" i="15"/>
  <c r="G240" i="15"/>
  <c r="G241" i="15"/>
  <c r="G242" i="15"/>
  <c r="G243" i="15"/>
  <c r="G244" i="15"/>
  <c r="G245" i="15"/>
  <c r="G246" i="15"/>
  <c r="G247" i="15"/>
  <c r="G248" i="15"/>
  <c r="G249" i="15"/>
  <c r="G250" i="15"/>
  <c r="G251" i="15"/>
  <c r="G252" i="15"/>
  <c r="G253" i="15"/>
  <c r="G254" i="15"/>
  <c r="G255" i="15"/>
  <c r="E11" i="15"/>
  <c r="G11" i="15" s="1"/>
  <c r="E12" i="15"/>
  <c r="G12" i="15" s="1"/>
  <c r="E13" i="15"/>
  <c r="E14" i="15"/>
  <c r="E15" i="15"/>
  <c r="E16" i="15"/>
  <c r="E17" i="15"/>
  <c r="E18" i="15"/>
  <c r="E19" i="15"/>
  <c r="E20" i="15"/>
  <c r="E21" i="15"/>
  <c r="E22" i="15"/>
  <c r="E23" i="15"/>
  <c r="E24" i="15"/>
  <c r="E25" i="15"/>
  <c r="E26" i="15"/>
  <c r="E27" i="15"/>
  <c r="E28" i="15"/>
  <c r="E29" i="15"/>
  <c r="E30" i="15"/>
  <c r="E31" i="15"/>
  <c r="E32" i="15"/>
  <c r="E33" i="15"/>
  <c r="E34" i="15"/>
  <c r="E35" i="15"/>
  <c r="E36" i="15"/>
  <c r="E37" i="15"/>
  <c r="E38" i="15"/>
  <c r="E39" i="15"/>
  <c r="E40" i="15"/>
  <c r="E41" i="15"/>
  <c r="E42" i="15"/>
  <c r="E43" i="15"/>
  <c r="E44" i="15"/>
  <c r="E45" i="15"/>
  <c r="E46" i="15"/>
  <c r="E47" i="15"/>
  <c r="E48" i="15"/>
  <c r="E49" i="15"/>
  <c r="E50" i="15"/>
  <c r="E51" i="15"/>
  <c r="E52" i="15"/>
  <c r="E53" i="15"/>
  <c r="E54" i="15"/>
  <c r="E55" i="15"/>
  <c r="E56" i="15"/>
  <c r="E57" i="15"/>
  <c r="E58" i="15"/>
  <c r="E59" i="15"/>
  <c r="E60" i="15"/>
  <c r="E61" i="15"/>
  <c r="E62" i="15"/>
  <c r="E63" i="15"/>
  <c r="E64" i="15"/>
  <c r="E65" i="15"/>
  <c r="E66" i="15"/>
  <c r="E67" i="15"/>
  <c r="E68" i="15"/>
  <c r="E69" i="15"/>
  <c r="E70" i="15"/>
  <c r="E71" i="15"/>
  <c r="E72" i="15"/>
  <c r="E73" i="15"/>
  <c r="E74" i="15"/>
  <c r="E75" i="15"/>
  <c r="E76" i="15"/>
  <c r="E77" i="15"/>
  <c r="E78" i="15"/>
  <c r="E79" i="15"/>
  <c r="E80" i="15"/>
  <c r="E81" i="15"/>
  <c r="E82" i="15"/>
  <c r="E83" i="15"/>
  <c r="E84" i="15"/>
  <c r="E85" i="15"/>
  <c r="E86" i="15"/>
  <c r="E87" i="15"/>
  <c r="E88" i="15"/>
  <c r="E89" i="15"/>
  <c r="E90" i="15"/>
  <c r="E91" i="15"/>
  <c r="E92" i="15"/>
  <c r="E93" i="15"/>
  <c r="E94" i="15"/>
  <c r="E95" i="15"/>
  <c r="E96" i="15"/>
  <c r="E97" i="15"/>
  <c r="E98" i="15"/>
  <c r="E99" i="15"/>
  <c r="E100" i="15"/>
  <c r="E101" i="15"/>
  <c r="E102" i="15"/>
  <c r="E103" i="15"/>
  <c r="E104" i="15"/>
  <c r="E105" i="15"/>
  <c r="E106" i="15"/>
  <c r="E107" i="15"/>
  <c r="E108" i="15"/>
  <c r="E109" i="15"/>
  <c r="E110" i="15"/>
  <c r="E111" i="15"/>
  <c r="E112" i="15"/>
  <c r="E113" i="15"/>
  <c r="E114" i="15"/>
  <c r="E115" i="15"/>
  <c r="E116" i="15"/>
  <c r="E117" i="15"/>
  <c r="E118" i="15"/>
  <c r="E119" i="15"/>
  <c r="E120" i="15"/>
  <c r="E121" i="15"/>
  <c r="E122" i="15"/>
  <c r="E123" i="15"/>
  <c r="E124" i="15"/>
  <c r="E125" i="15"/>
  <c r="E126" i="15"/>
  <c r="E127" i="15"/>
  <c r="E128" i="15"/>
  <c r="E129" i="15"/>
  <c r="E130" i="15"/>
  <c r="E131" i="15"/>
  <c r="E132" i="15"/>
  <c r="E133" i="15"/>
  <c r="E134" i="15"/>
  <c r="E135" i="15"/>
  <c r="E136" i="15"/>
  <c r="E137" i="15"/>
  <c r="E138" i="15"/>
  <c r="E139" i="15"/>
  <c r="E140" i="15"/>
  <c r="E141" i="15"/>
  <c r="E142" i="15"/>
  <c r="E143" i="15"/>
  <c r="E144" i="15"/>
  <c r="E145" i="15"/>
  <c r="E146" i="15"/>
  <c r="E147" i="15"/>
  <c r="E148" i="15"/>
  <c r="E149" i="15"/>
  <c r="E150" i="15"/>
  <c r="E151" i="15"/>
  <c r="E152" i="15"/>
  <c r="E153" i="15"/>
  <c r="E154" i="15"/>
  <c r="E155" i="15"/>
  <c r="E156" i="15"/>
  <c r="E157" i="15"/>
  <c r="E158" i="15"/>
  <c r="E159" i="15"/>
  <c r="E160" i="15"/>
  <c r="E161" i="15"/>
  <c r="E162" i="15"/>
  <c r="E163" i="15"/>
  <c r="E164" i="15"/>
  <c r="E165" i="15"/>
  <c r="E166" i="15"/>
  <c r="E167" i="15"/>
  <c r="E168" i="15"/>
  <c r="E169" i="15"/>
  <c r="E170" i="15"/>
  <c r="E171" i="15"/>
  <c r="E172" i="15"/>
  <c r="E173" i="15"/>
  <c r="E174" i="15"/>
  <c r="E175" i="15"/>
  <c r="E176" i="15"/>
  <c r="E177" i="15"/>
  <c r="E178" i="15"/>
  <c r="E179" i="15"/>
  <c r="E180" i="15"/>
  <c r="E181" i="15"/>
  <c r="E182" i="15"/>
  <c r="E183" i="15"/>
  <c r="E184" i="15"/>
  <c r="E185" i="15"/>
  <c r="E186" i="15"/>
  <c r="E187" i="15"/>
  <c r="E188" i="15"/>
  <c r="E189" i="15"/>
  <c r="E190" i="15"/>
  <c r="E191" i="15"/>
  <c r="E192" i="15"/>
  <c r="E193" i="15"/>
  <c r="E194" i="15"/>
  <c r="E195" i="15"/>
  <c r="E196" i="15"/>
  <c r="E197" i="15"/>
  <c r="E198" i="15"/>
  <c r="E199" i="15"/>
  <c r="E200" i="15"/>
  <c r="E201" i="15"/>
  <c r="E202" i="15"/>
  <c r="E203" i="15"/>
  <c r="E204" i="15"/>
  <c r="E205" i="15"/>
  <c r="E206" i="15"/>
  <c r="E207" i="15"/>
  <c r="E208" i="15"/>
  <c r="E209" i="15"/>
  <c r="E210" i="15"/>
  <c r="E211" i="15"/>
  <c r="E212" i="15"/>
  <c r="E213" i="15"/>
  <c r="E214" i="15"/>
  <c r="E215" i="15"/>
  <c r="E216" i="15"/>
  <c r="E217" i="15"/>
  <c r="E218" i="15"/>
  <c r="E219" i="15"/>
  <c r="E220" i="15"/>
  <c r="E221" i="15"/>
  <c r="E222" i="15"/>
  <c r="E223" i="15"/>
  <c r="E224" i="15"/>
  <c r="E225" i="15"/>
  <c r="E226" i="15"/>
  <c r="E227" i="15"/>
  <c r="E228" i="15"/>
  <c r="E229" i="15"/>
  <c r="E230" i="15"/>
  <c r="E231" i="15"/>
  <c r="E232" i="15"/>
  <c r="E233" i="15"/>
  <c r="E234" i="15"/>
  <c r="E235" i="15"/>
  <c r="E236" i="15"/>
  <c r="E237" i="15"/>
  <c r="E238" i="15"/>
  <c r="E239" i="15"/>
  <c r="E240" i="15"/>
  <c r="E241" i="15"/>
  <c r="E242" i="15"/>
  <c r="E243" i="15"/>
  <c r="E244" i="15"/>
  <c r="E245" i="15"/>
  <c r="E246" i="15"/>
  <c r="E247" i="15"/>
  <c r="E248" i="15"/>
  <c r="E249" i="15"/>
  <c r="E250" i="15"/>
  <c r="E251" i="15"/>
  <c r="E252" i="15"/>
  <c r="E253" i="15"/>
  <c r="E254" i="15"/>
  <c r="E255" i="15"/>
  <c r="E8" i="15"/>
  <c r="G8" i="15" s="1"/>
  <c r="E9" i="15"/>
  <c r="G9" i="15" s="1"/>
  <c r="E10" i="15"/>
  <c r="G10" i="15" s="1"/>
  <c r="D16" i="17"/>
  <c r="J11" i="17"/>
  <c r="J13" i="17" s="1"/>
  <c r="J15" i="17" s="1"/>
  <c r="J16" i="17" s="1"/>
  <c r="I11" i="17"/>
  <c r="I13" i="17" s="1"/>
  <c r="I15" i="17" s="1"/>
  <c r="I16" i="17" s="1"/>
  <c r="Q293" i="15" l="1"/>
  <c r="Q305" i="15"/>
  <c r="Q304" i="15"/>
  <c r="N303" i="15"/>
  <c r="Q270" i="15"/>
  <c r="N280" i="15"/>
  <c r="N302" i="15"/>
  <c r="N301" i="15"/>
  <c r="N300" i="15"/>
  <c r="Q273" i="15"/>
  <c r="Q291" i="15"/>
  <c r="Q290" i="15"/>
  <c r="Q296" i="15"/>
  <c r="Q294" i="15"/>
  <c r="Q292" i="15"/>
  <c r="N299" i="15"/>
  <c r="N298" i="15"/>
  <c r="N297" i="15"/>
  <c r="N289" i="15"/>
  <c r="Q284" i="15"/>
  <c r="N285" i="15"/>
  <c r="N283" i="15"/>
  <c r="N282" i="15"/>
  <c r="N281" i="15"/>
  <c r="Q286" i="15"/>
  <c r="Q288" i="15"/>
  <c r="Q287" i="15"/>
  <c r="Q274" i="15"/>
  <c r="N276" i="15"/>
  <c r="N279" i="15"/>
  <c r="N275" i="15"/>
  <c r="Q278" i="15"/>
  <c r="Q277" i="15"/>
  <c r="Q272" i="15"/>
  <c r="Q271" i="15"/>
  <c r="N262" i="15"/>
  <c r="N267" i="15"/>
  <c r="N265" i="15"/>
  <c r="Q269" i="15"/>
  <c r="N268" i="15"/>
  <c r="Q263" i="15"/>
  <c r="Q257" i="15"/>
  <c r="N264" i="15"/>
  <c r="Q266" i="15"/>
  <c r="Q261" i="15"/>
  <c r="Q260" i="15"/>
  <c r="Q259" i="15"/>
  <c r="N258" i="15"/>
  <c r="N256" i="15"/>
  <c r="C49" i="17" a="1"/>
  <c r="C49" i="17" s="1"/>
  <c r="D52" i="17" s="1"/>
  <c r="C16" i="17"/>
  <c r="V64" i="8"/>
  <c r="S64" i="8"/>
  <c r="BD7" i="8"/>
  <c r="AX7" i="8"/>
  <c r="AR7" i="8"/>
  <c r="AL7" i="8"/>
  <c r="AF7" i="8"/>
  <c r="Z7" i="8"/>
  <c r="T7" i="8"/>
  <c r="BD18" i="8"/>
  <c r="AX18" i="8"/>
  <c r="AR18" i="8"/>
  <c r="AL18" i="8"/>
  <c r="AF18" i="8"/>
  <c r="Z18" i="8"/>
  <c r="T18" i="8"/>
  <c r="BD17" i="8"/>
  <c r="AX17" i="8"/>
  <c r="AR17" i="8"/>
  <c r="AL17" i="8"/>
  <c r="AF17" i="8"/>
  <c r="Z17" i="8"/>
  <c r="T17" i="8"/>
  <c r="BD16" i="8"/>
  <c r="AX16" i="8"/>
  <c r="AR16" i="8"/>
  <c r="AL16" i="8"/>
  <c r="AF16" i="8"/>
  <c r="Z16" i="8"/>
  <c r="T16" i="8"/>
  <c r="BD15" i="8"/>
  <c r="AX15" i="8"/>
  <c r="AR15" i="8"/>
  <c r="AL15" i="8"/>
  <c r="AF15" i="8"/>
  <c r="Z15" i="8"/>
  <c r="T15" i="8"/>
  <c r="BD14" i="8"/>
  <c r="AX14" i="8"/>
  <c r="AR14" i="8"/>
  <c r="AL14" i="8"/>
  <c r="AF14" i="8"/>
  <c r="Z14" i="8"/>
  <c r="T14" i="8"/>
  <c r="BD13" i="8"/>
  <c r="AX13" i="8"/>
  <c r="AR13" i="8"/>
  <c r="AL13" i="8"/>
  <c r="AF13" i="8"/>
  <c r="Z13" i="8"/>
  <c r="T13" i="8"/>
  <c r="BD12" i="8"/>
  <c r="AX12" i="8"/>
  <c r="AR12" i="8"/>
  <c r="AL12" i="8"/>
  <c r="AF12" i="8"/>
  <c r="Z12" i="8"/>
  <c r="T12" i="8"/>
  <c r="BD11" i="8"/>
  <c r="AX11" i="8"/>
  <c r="AR11" i="8"/>
  <c r="AL11" i="8"/>
  <c r="AF11" i="8"/>
  <c r="Z11" i="8"/>
  <c r="T11" i="8"/>
  <c r="BD10" i="8"/>
  <c r="AX10" i="8"/>
  <c r="AR10" i="8"/>
  <c r="AL10" i="8"/>
  <c r="AF10" i="8"/>
  <c r="Z10" i="8"/>
  <c r="T10" i="8"/>
  <c r="BD9" i="8"/>
  <c r="AX9" i="8"/>
  <c r="AR9" i="8"/>
  <c r="AL9" i="8"/>
  <c r="AF9" i="8"/>
  <c r="Z9" i="8"/>
  <c r="T9" i="8"/>
  <c r="BD8" i="8"/>
  <c r="AX8" i="8"/>
  <c r="AR8" i="8"/>
  <c r="AL8" i="8"/>
  <c r="AF8" i="8"/>
  <c r="Z8" i="8"/>
  <c r="T8" i="8"/>
  <c r="AX21" i="8" l="1"/>
  <c r="BD21" i="8"/>
  <c r="T21" i="8"/>
  <c r="Z21" i="8"/>
  <c r="AF21" i="8"/>
  <c r="AL21" i="8"/>
  <c r="AR21" i="8"/>
  <c r="D50" i="17"/>
  <c r="D51" i="17"/>
  <c r="D53" i="17"/>
  <c r="R77" i="8" a="1"/>
  <c r="R77" i="8" s="1"/>
  <c r="H42" i="17" s="1"/>
  <c r="J21" i="17" l="1"/>
  <c r="J22" i="17" s="1"/>
  <c r="J24" i="17"/>
  <c r="J25" i="17" s="1"/>
  <c r="D43" i="17"/>
  <c r="D42" i="17"/>
  <c r="J23" i="17" l="1"/>
  <c r="J26" i="17"/>
  <c r="S60" i="8"/>
  <c r="S59" i="8"/>
  <c r="U57" i="8"/>
  <c r="U56" i="8"/>
  <c r="U55" i="8"/>
  <c r="U54" i="8"/>
  <c r="U53" i="8"/>
  <c r="U51" i="8"/>
  <c r="U50" i="8"/>
  <c r="U49" i="8"/>
  <c r="U48" i="8"/>
  <c r="U47" i="8"/>
  <c r="BF19" i="8"/>
  <c r="BE19" i="8"/>
  <c r="BC19" i="8"/>
  <c r="AZ19" i="8"/>
  <c r="AY19" i="8"/>
  <c r="AW19" i="8"/>
  <c r="AQ19" i="8"/>
  <c r="AT19" i="8"/>
  <c r="AS19" i="8"/>
  <c r="T29" i="8" s="1"/>
  <c r="AN19" i="8"/>
  <c r="AM19" i="8"/>
  <c r="AK19" i="8"/>
  <c r="AH19" i="8"/>
  <c r="AG19" i="8"/>
  <c r="AB19" i="8"/>
  <c r="AA19" i="8"/>
  <c r="V19" i="8"/>
  <c r="U19" i="8"/>
  <c r="S19" i="8"/>
  <c r="R11" i="15"/>
  <c r="R12" i="15"/>
  <c r="R13" i="15"/>
  <c r="R14" i="15"/>
  <c r="R15" i="15"/>
  <c r="R16" i="15"/>
  <c r="R17" i="15"/>
  <c r="R18" i="15"/>
  <c r="R19" i="15"/>
  <c r="R20" i="15"/>
  <c r="R21" i="15"/>
  <c r="R22" i="15"/>
  <c r="R23" i="15"/>
  <c r="R24" i="15"/>
  <c r="R25" i="15"/>
  <c r="R26" i="15"/>
  <c r="R27" i="15"/>
  <c r="R28" i="15"/>
  <c r="R29" i="15"/>
  <c r="R30"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134" i="15"/>
  <c r="R135" i="15"/>
  <c r="R136" i="15"/>
  <c r="R137" i="15"/>
  <c r="R138" i="15"/>
  <c r="R139" i="15"/>
  <c r="R140" i="15"/>
  <c r="R141" i="15"/>
  <c r="R142" i="15"/>
  <c r="R143" i="15"/>
  <c r="R144" i="15"/>
  <c r="R145" i="15"/>
  <c r="R146" i="15"/>
  <c r="R147" i="15"/>
  <c r="R148" i="15"/>
  <c r="R149" i="15"/>
  <c r="R150" i="15"/>
  <c r="R151" i="15"/>
  <c r="R152" i="15"/>
  <c r="R153" i="15"/>
  <c r="R154" i="15"/>
  <c r="R155" i="15"/>
  <c r="R156" i="15"/>
  <c r="R157" i="15"/>
  <c r="R158" i="15"/>
  <c r="R159" i="15"/>
  <c r="R160" i="15"/>
  <c r="R161" i="15"/>
  <c r="R162" i="15"/>
  <c r="R163" i="15"/>
  <c r="R164" i="15"/>
  <c r="R165" i="15"/>
  <c r="R166" i="15"/>
  <c r="R167" i="15"/>
  <c r="R168" i="15"/>
  <c r="R169" i="15"/>
  <c r="R170" i="15"/>
  <c r="R171" i="15"/>
  <c r="R172" i="15"/>
  <c r="R173" i="15"/>
  <c r="R174" i="15"/>
  <c r="R175" i="15"/>
  <c r="R176" i="15"/>
  <c r="R177" i="15"/>
  <c r="R178" i="15"/>
  <c r="R179" i="15"/>
  <c r="R180" i="15"/>
  <c r="R181" i="15"/>
  <c r="R182" i="15"/>
  <c r="R183" i="15"/>
  <c r="R184" i="15"/>
  <c r="R185" i="15"/>
  <c r="R186" i="15"/>
  <c r="R187" i="15"/>
  <c r="R188" i="15"/>
  <c r="R189" i="15"/>
  <c r="R190" i="15"/>
  <c r="R191" i="15"/>
  <c r="R192" i="15"/>
  <c r="R193" i="15"/>
  <c r="R194" i="15"/>
  <c r="R195" i="15"/>
  <c r="R196" i="15"/>
  <c r="R197" i="15"/>
  <c r="R198" i="15"/>
  <c r="R199" i="15"/>
  <c r="R200" i="15"/>
  <c r="R201" i="15"/>
  <c r="R202" i="15"/>
  <c r="R203" i="15"/>
  <c r="R204" i="15"/>
  <c r="R205" i="15"/>
  <c r="R206" i="15"/>
  <c r="R207" i="15"/>
  <c r="R208" i="15"/>
  <c r="R209" i="15"/>
  <c r="R210" i="15"/>
  <c r="R211" i="15"/>
  <c r="R212" i="15"/>
  <c r="R213" i="15"/>
  <c r="R214" i="15"/>
  <c r="R215" i="15"/>
  <c r="R216" i="15"/>
  <c r="R217" i="15"/>
  <c r="R218" i="15"/>
  <c r="R219" i="15"/>
  <c r="R220" i="15"/>
  <c r="R221" i="15"/>
  <c r="R222" i="15"/>
  <c r="R223" i="15"/>
  <c r="R224" i="15"/>
  <c r="R225" i="15"/>
  <c r="R226" i="15"/>
  <c r="R227" i="15"/>
  <c r="R228" i="15"/>
  <c r="R229" i="15"/>
  <c r="R230" i="15"/>
  <c r="R231" i="15"/>
  <c r="R232" i="15"/>
  <c r="R233" i="15"/>
  <c r="R234" i="15"/>
  <c r="R235" i="15"/>
  <c r="R236" i="15"/>
  <c r="R237" i="15"/>
  <c r="R238" i="15"/>
  <c r="R239" i="15"/>
  <c r="R240" i="15"/>
  <c r="R241" i="15"/>
  <c r="R242" i="15"/>
  <c r="R243" i="15"/>
  <c r="R244" i="15"/>
  <c r="R245" i="15"/>
  <c r="R246" i="15"/>
  <c r="R247" i="15"/>
  <c r="R248" i="15"/>
  <c r="R249" i="15"/>
  <c r="R250" i="15"/>
  <c r="R251" i="15"/>
  <c r="R252" i="15"/>
  <c r="R253" i="15"/>
  <c r="R254" i="15"/>
  <c r="R255" i="15"/>
  <c r="R8" i="15"/>
  <c r="R9" i="15"/>
  <c r="R10" i="15"/>
  <c r="Q8" i="15"/>
  <c r="Q9" i="15"/>
  <c r="Q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O46" i="15"/>
  <c r="O47" i="15"/>
  <c r="O48" i="15"/>
  <c r="O49" i="15"/>
  <c r="O50" i="15"/>
  <c r="O51" i="15"/>
  <c r="O52" i="15"/>
  <c r="O53" i="15"/>
  <c r="O54" i="15"/>
  <c r="O55" i="15"/>
  <c r="O56" i="15"/>
  <c r="O57" i="15"/>
  <c r="O58" i="15"/>
  <c r="O59" i="15"/>
  <c r="O60" i="15"/>
  <c r="O61" i="15"/>
  <c r="O62" i="15"/>
  <c r="O63" i="15"/>
  <c r="O64" i="15"/>
  <c r="O65" i="15"/>
  <c r="O66" i="15"/>
  <c r="O67" i="15"/>
  <c r="O68" i="15"/>
  <c r="O69" i="15"/>
  <c r="O70" i="15"/>
  <c r="O71" i="15"/>
  <c r="O72" i="15"/>
  <c r="O73" i="15"/>
  <c r="O74" i="15"/>
  <c r="O75" i="15"/>
  <c r="O76" i="15"/>
  <c r="O77" i="15"/>
  <c r="O78" i="15"/>
  <c r="O79" i="15"/>
  <c r="O80" i="15"/>
  <c r="O81" i="15"/>
  <c r="O82" i="15"/>
  <c r="O83" i="15"/>
  <c r="O84" i="15"/>
  <c r="O85" i="15"/>
  <c r="O86" i="15"/>
  <c r="O87" i="15"/>
  <c r="O88" i="15"/>
  <c r="O89" i="15"/>
  <c r="O90" i="15"/>
  <c r="O91" i="15"/>
  <c r="O92" i="15"/>
  <c r="O93" i="15"/>
  <c r="O94" i="15"/>
  <c r="O95" i="15"/>
  <c r="O96" i="15"/>
  <c r="O97" i="15"/>
  <c r="O98" i="15"/>
  <c r="O99" i="15"/>
  <c r="O100" i="15"/>
  <c r="O101" i="15"/>
  <c r="O102" i="15"/>
  <c r="O103" i="15"/>
  <c r="O104" i="15"/>
  <c r="O105" i="15"/>
  <c r="O106" i="15"/>
  <c r="O107" i="15"/>
  <c r="O108" i="15"/>
  <c r="O109" i="15"/>
  <c r="O110" i="15"/>
  <c r="O111" i="15"/>
  <c r="O112" i="15"/>
  <c r="O113" i="15"/>
  <c r="O114" i="15"/>
  <c r="O115" i="15"/>
  <c r="O116" i="15"/>
  <c r="O117" i="15"/>
  <c r="O118" i="15"/>
  <c r="O119" i="15"/>
  <c r="O120" i="15"/>
  <c r="O121" i="15"/>
  <c r="O122" i="15"/>
  <c r="O123" i="15"/>
  <c r="O124" i="15"/>
  <c r="O125" i="15"/>
  <c r="O126" i="15"/>
  <c r="O127" i="15"/>
  <c r="O128" i="15"/>
  <c r="O129" i="15"/>
  <c r="O130" i="15"/>
  <c r="O131" i="15"/>
  <c r="O132" i="15"/>
  <c r="O133" i="15"/>
  <c r="O134" i="15"/>
  <c r="O135" i="15"/>
  <c r="O136" i="15"/>
  <c r="O137" i="15"/>
  <c r="O138" i="15"/>
  <c r="O139" i="15"/>
  <c r="O140" i="15"/>
  <c r="O141" i="15"/>
  <c r="O142" i="15"/>
  <c r="O143" i="15"/>
  <c r="O144" i="15"/>
  <c r="O145" i="15"/>
  <c r="O146" i="15"/>
  <c r="O147" i="15"/>
  <c r="O148" i="15"/>
  <c r="O149" i="15"/>
  <c r="O150" i="15"/>
  <c r="O151" i="15"/>
  <c r="O152" i="15"/>
  <c r="O153" i="15"/>
  <c r="O154" i="15"/>
  <c r="O155" i="15"/>
  <c r="O156" i="15"/>
  <c r="O157" i="15"/>
  <c r="O158" i="15"/>
  <c r="O159" i="15"/>
  <c r="O160" i="15"/>
  <c r="O161" i="15"/>
  <c r="O162" i="15"/>
  <c r="O163" i="15"/>
  <c r="O164" i="15"/>
  <c r="O165" i="15"/>
  <c r="O166" i="15"/>
  <c r="O167" i="15"/>
  <c r="O168" i="15"/>
  <c r="O169" i="15"/>
  <c r="O170" i="15"/>
  <c r="O171" i="15"/>
  <c r="O172" i="15"/>
  <c r="O173" i="15"/>
  <c r="O174" i="15"/>
  <c r="O175" i="15"/>
  <c r="O176" i="15"/>
  <c r="O177" i="15"/>
  <c r="O178" i="15"/>
  <c r="O179" i="15"/>
  <c r="O180" i="15"/>
  <c r="O181" i="15"/>
  <c r="O182" i="15"/>
  <c r="O183" i="15"/>
  <c r="O184" i="15"/>
  <c r="O185" i="15"/>
  <c r="O186" i="15"/>
  <c r="O187" i="15"/>
  <c r="O188" i="15"/>
  <c r="O189" i="15"/>
  <c r="O190" i="15"/>
  <c r="O191" i="15"/>
  <c r="O192" i="15"/>
  <c r="O193" i="15"/>
  <c r="O194" i="15"/>
  <c r="O195" i="15"/>
  <c r="O196" i="15"/>
  <c r="O197" i="15"/>
  <c r="O198" i="15"/>
  <c r="O199" i="15"/>
  <c r="O200" i="15"/>
  <c r="O201" i="15"/>
  <c r="O202" i="15"/>
  <c r="O203" i="15"/>
  <c r="O204" i="15"/>
  <c r="O205" i="15"/>
  <c r="O206" i="15"/>
  <c r="O207" i="15"/>
  <c r="O208" i="15"/>
  <c r="O209" i="15"/>
  <c r="O210" i="15"/>
  <c r="O211" i="15"/>
  <c r="O212" i="15"/>
  <c r="O213" i="15"/>
  <c r="O214" i="15"/>
  <c r="O215" i="15"/>
  <c r="O216" i="15"/>
  <c r="O217" i="15"/>
  <c r="O218" i="15"/>
  <c r="O219" i="15"/>
  <c r="O220" i="15"/>
  <c r="O221" i="15"/>
  <c r="O222" i="15"/>
  <c r="O223" i="15"/>
  <c r="O224" i="15"/>
  <c r="O225" i="15"/>
  <c r="O226" i="15"/>
  <c r="O227" i="15"/>
  <c r="O228" i="15"/>
  <c r="O229" i="15"/>
  <c r="O230" i="15"/>
  <c r="O231" i="15"/>
  <c r="O232" i="15"/>
  <c r="O233" i="15"/>
  <c r="O234" i="15"/>
  <c r="O235" i="15"/>
  <c r="O236" i="15"/>
  <c r="O237" i="15"/>
  <c r="O238" i="15"/>
  <c r="O239" i="15"/>
  <c r="O240" i="15"/>
  <c r="O241" i="15"/>
  <c r="O242" i="15"/>
  <c r="O243" i="15"/>
  <c r="O244" i="15"/>
  <c r="O245" i="15"/>
  <c r="O246" i="15"/>
  <c r="O247" i="15"/>
  <c r="O248" i="15"/>
  <c r="O249" i="15"/>
  <c r="O250" i="15"/>
  <c r="O251" i="15"/>
  <c r="O252" i="15"/>
  <c r="O253" i="15"/>
  <c r="O254" i="15"/>
  <c r="O255" i="15"/>
  <c r="O8" i="15"/>
  <c r="O9" i="15"/>
  <c r="O10" i="15"/>
  <c r="N8" i="15"/>
  <c r="N9" i="15"/>
  <c r="N10" i="15"/>
  <c r="C7" i="7"/>
  <c r="E15" i="26" s="1"/>
  <c r="E13" i="26"/>
  <c r="E11" i="26"/>
  <c r="W6" i="15" a="1"/>
  <c r="W6" i="15" s="1"/>
  <c r="V7" i="15"/>
  <c r="V8" i="15"/>
  <c r="V9" i="15"/>
  <c r="V10" i="15"/>
  <c r="V11" i="15"/>
  <c r="V12" i="15"/>
  <c r="V13" i="15"/>
  <c r="V14" i="15"/>
  <c r="V15" i="15"/>
  <c r="V16" i="15"/>
  <c r="V17" i="15"/>
  <c r="V18" i="15"/>
  <c r="V19" i="15"/>
  <c r="V20" i="15"/>
  <c r="V21" i="15"/>
  <c r="V22" i="15"/>
  <c r="V23" i="15"/>
  <c r="V24" i="15"/>
  <c r="V25" i="15"/>
  <c r="V26" i="15"/>
  <c r="V27" i="15"/>
  <c r="V28" i="15"/>
  <c r="V29" i="15"/>
  <c r="V30" i="15"/>
  <c r="V31" i="15"/>
  <c r="V32" i="15"/>
  <c r="V33" i="15"/>
  <c r="V34" i="15"/>
  <c r="V35" i="15"/>
  <c r="V36" i="15"/>
  <c r="V37" i="15"/>
  <c r="V38" i="15"/>
  <c r="V39" i="15"/>
  <c r="V40" i="15"/>
  <c r="V41" i="15"/>
  <c r="V42" i="15"/>
  <c r="V43" i="15"/>
  <c r="V44" i="15"/>
  <c r="V45" i="15"/>
  <c r="V46" i="15"/>
  <c r="V47" i="15"/>
  <c r="V48" i="15"/>
  <c r="V49" i="15"/>
  <c r="V50" i="15"/>
  <c r="V51" i="15"/>
  <c r="V52" i="15"/>
  <c r="V53" i="15"/>
  <c r="V54" i="15"/>
  <c r="V55" i="15"/>
  <c r="V56" i="15"/>
  <c r="V57" i="15"/>
  <c r="V58" i="15"/>
  <c r="V59" i="15"/>
  <c r="V60" i="15"/>
  <c r="V61" i="15"/>
  <c r="V62" i="15"/>
  <c r="V63" i="15"/>
  <c r="V64" i="15"/>
  <c r="V65" i="15"/>
  <c r="V66" i="15"/>
  <c r="V67" i="15"/>
  <c r="V68" i="15"/>
  <c r="V69" i="15"/>
  <c r="V70" i="15"/>
  <c r="V71" i="15"/>
  <c r="V72" i="15"/>
  <c r="V73" i="15"/>
  <c r="V74" i="15"/>
  <c r="V75" i="15"/>
  <c r="V76" i="15"/>
  <c r="V77" i="15"/>
  <c r="V78" i="15"/>
  <c r="V79" i="15"/>
  <c r="V80" i="15"/>
  <c r="V81" i="15"/>
  <c r="V82" i="15"/>
  <c r="V83" i="15"/>
  <c r="V84" i="15"/>
  <c r="V85" i="15"/>
  <c r="V86" i="15"/>
  <c r="V87" i="15"/>
  <c r="V88" i="15"/>
  <c r="V89" i="15"/>
  <c r="V90" i="15"/>
  <c r="V91" i="15"/>
  <c r="V92" i="15"/>
  <c r="V93" i="15"/>
  <c r="V94" i="15"/>
  <c r="V95" i="15"/>
  <c r="V96" i="15"/>
  <c r="V97" i="15"/>
  <c r="V98" i="15"/>
  <c r="V99" i="15"/>
  <c r="V100" i="15"/>
  <c r="V101" i="15"/>
  <c r="V102" i="15"/>
  <c r="V103" i="15"/>
  <c r="V104" i="15"/>
  <c r="V105" i="15"/>
  <c r="V106" i="15"/>
  <c r="V107" i="15"/>
  <c r="V108" i="15"/>
  <c r="V109" i="15"/>
  <c r="V110" i="15"/>
  <c r="V111" i="15"/>
  <c r="V112" i="15"/>
  <c r="V113" i="15"/>
  <c r="V114" i="15"/>
  <c r="V115" i="15"/>
  <c r="V116" i="15"/>
  <c r="V117" i="15"/>
  <c r="V118" i="15"/>
  <c r="V119" i="15"/>
  <c r="V120" i="15"/>
  <c r="V121" i="15"/>
  <c r="V122" i="15"/>
  <c r="V123" i="15"/>
  <c r="V124" i="15"/>
  <c r="V125" i="15"/>
  <c r="V126" i="15"/>
  <c r="V127" i="15"/>
  <c r="V128" i="15"/>
  <c r="V129" i="15"/>
  <c r="V130" i="15"/>
  <c r="V131" i="15"/>
  <c r="V132" i="15"/>
  <c r="V133" i="15"/>
  <c r="V134" i="15"/>
  <c r="V135" i="15"/>
  <c r="V136" i="15"/>
  <c r="V137" i="15"/>
  <c r="V138" i="15"/>
  <c r="V139" i="15"/>
  <c r="V140" i="15"/>
  <c r="V141" i="15"/>
  <c r="V142" i="15"/>
  <c r="V143" i="15"/>
  <c r="V144" i="15"/>
  <c r="V145" i="15"/>
  <c r="V146" i="15"/>
  <c r="V147" i="15"/>
  <c r="V148" i="15"/>
  <c r="V149" i="15"/>
  <c r="V150" i="15"/>
  <c r="V151" i="15"/>
  <c r="V152" i="15"/>
  <c r="V153" i="15"/>
  <c r="V154" i="15"/>
  <c r="V155" i="15"/>
  <c r="V156" i="15"/>
  <c r="V157" i="15"/>
  <c r="V158" i="15"/>
  <c r="V159" i="15"/>
  <c r="V160" i="15"/>
  <c r="V161" i="15"/>
  <c r="V162" i="15"/>
  <c r="V163" i="15"/>
  <c r="V164" i="15"/>
  <c r="V165" i="15"/>
  <c r="V166" i="15"/>
  <c r="V167" i="15"/>
  <c r="V168" i="15"/>
  <c r="V169" i="15"/>
  <c r="V170" i="15"/>
  <c r="V171" i="15"/>
  <c r="V172" i="15"/>
  <c r="V173" i="15"/>
  <c r="V174" i="15"/>
  <c r="V175" i="15"/>
  <c r="V176" i="15"/>
  <c r="V177" i="15"/>
  <c r="V178" i="15"/>
  <c r="V179" i="15"/>
  <c r="V180" i="15"/>
  <c r="V181" i="15"/>
  <c r="V182" i="15"/>
  <c r="V183" i="15"/>
  <c r="V184" i="15"/>
  <c r="V185" i="15"/>
  <c r="V186" i="15"/>
  <c r="V187" i="15"/>
  <c r="V188" i="15"/>
  <c r="V189" i="15"/>
  <c r="V190" i="15"/>
  <c r="V191" i="15"/>
  <c r="V192" i="15"/>
  <c r="V193" i="15"/>
  <c r="V194" i="15"/>
  <c r="V195" i="15"/>
  <c r="V196" i="15"/>
  <c r="V197" i="15"/>
  <c r="V198" i="15"/>
  <c r="V199" i="15"/>
  <c r="V200" i="15"/>
  <c r="V201" i="15"/>
  <c r="V202" i="15"/>
  <c r="V203" i="15"/>
  <c r="V204" i="15"/>
  <c r="V205" i="15"/>
  <c r="V206" i="15"/>
  <c r="V207" i="15"/>
  <c r="V208" i="15"/>
  <c r="V209" i="15"/>
  <c r="V210" i="15"/>
  <c r="V211" i="15"/>
  <c r="V212" i="15"/>
  <c r="V213" i="15"/>
  <c r="V214" i="15"/>
  <c r="V215" i="15"/>
  <c r="V216" i="15"/>
  <c r="V217" i="15"/>
  <c r="V218" i="15"/>
  <c r="V219" i="15"/>
  <c r="V220" i="15"/>
  <c r="V221" i="15"/>
  <c r="V222" i="15"/>
  <c r="V223" i="15"/>
  <c r="V224" i="15"/>
  <c r="V225" i="15"/>
  <c r="V226" i="15"/>
  <c r="V227" i="15"/>
  <c r="V228" i="15"/>
  <c r="V229" i="15"/>
  <c r="V230" i="15"/>
  <c r="V231" i="15"/>
  <c r="V232" i="15"/>
  <c r="V233" i="15"/>
  <c r="V234" i="15"/>
  <c r="V235" i="15"/>
  <c r="V236" i="15"/>
  <c r="V237" i="15"/>
  <c r="V238" i="15"/>
  <c r="V239" i="15"/>
  <c r="V240" i="15"/>
  <c r="V241" i="15"/>
  <c r="V242" i="15"/>
  <c r="V243" i="15"/>
  <c r="V244" i="15"/>
  <c r="V245" i="15"/>
  <c r="V246" i="15"/>
  <c r="V247" i="15"/>
  <c r="V248" i="15"/>
  <c r="V249" i="15"/>
  <c r="V250" i="15"/>
  <c r="V251" i="15"/>
  <c r="V252" i="15"/>
  <c r="V253" i="15"/>
  <c r="V254" i="15"/>
  <c r="V255" i="15"/>
  <c r="V6" i="15"/>
  <c r="U7" i="15"/>
  <c r="U8" i="15"/>
  <c r="U9" i="15"/>
  <c r="U10" i="15"/>
  <c r="U11" i="15"/>
  <c r="U12" i="15"/>
  <c r="U13" i="15"/>
  <c r="U14" i="15"/>
  <c r="U15" i="15"/>
  <c r="U16" i="15"/>
  <c r="U17" i="15"/>
  <c r="U18" i="15"/>
  <c r="U19" i="15"/>
  <c r="U20" i="15"/>
  <c r="U21" i="15"/>
  <c r="U22" i="15"/>
  <c r="U23" i="15"/>
  <c r="U24" i="15"/>
  <c r="U25" i="15"/>
  <c r="U26" i="15"/>
  <c r="U27" i="15"/>
  <c r="U28" i="15"/>
  <c r="U29" i="15"/>
  <c r="U30" i="15"/>
  <c r="U31" i="15"/>
  <c r="U32" i="15"/>
  <c r="U33" i="15"/>
  <c r="U34" i="15"/>
  <c r="U35" i="15"/>
  <c r="U36" i="15"/>
  <c r="U37" i="15"/>
  <c r="U38" i="15"/>
  <c r="U39" i="15"/>
  <c r="U40" i="15"/>
  <c r="U41" i="15"/>
  <c r="U42" i="15"/>
  <c r="U43" i="15"/>
  <c r="U44" i="15"/>
  <c r="U45" i="15"/>
  <c r="U46" i="15"/>
  <c r="U47" i="15"/>
  <c r="U48" i="15"/>
  <c r="U49" i="15"/>
  <c r="U50" i="15"/>
  <c r="U51" i="15"/>
  <c r="U52" i="15"/>
  <c r="U53" i="15"/>
  <c r="U54" i="15"/>
  <c r="U55" i="15"/>
  <c r="U56" i="15"/>
  <c r="U57" i="15"/>
  <c r="U58" i="15"/>
  <c r="U59" i="15"/>
  <c r="U60" i="15"/>
  <c r="U61" i="15"/>
  <c r="U62" i="15"/>
  <c r="U63" i="15"/>
  <c r="U64" i="15"/>
  <c r="U65" i="15"/>
  <c r="U66" i="15"/>
  <c r="U67" i="15"/>
  <c r="U68" i="15"/>
  <c r="U69" i="15"/>
  <c r="U70" i="15"/>
  <c r="U71" i="15"/>
  <c r="U72" i="15"/>
  <c r="U73" i="15"/>
  <c r="U74" i="15"/>
  <c r="U75" i="15"/>
  <c r="U76" i="15"/>
  <c r="U77" i="15"/>
  <c r="U78" i="15"/>
  <c r="U79" i="15"/>
  <c r="U80" i="15"/>
  <c r="U81" i="15"/>
  <c r="U82" i="15"/>
  <c r="U83" i="15"/>
  <c r="U84" i="15"/>
  <c r="U85" i="15"/>
  <c r="U86" i="15"/>
  <c r="U87" i="15"/>
  <c r="U88" i="15"/>
  <c r="U89" i="15"/>
  <c r="U90" i="15"/>
  <c r="U91" i="15"/>
  <c r="U92" i="15"/>
  <c r="U93" i="15"/>
  <c r="U94" i="15"/>
  <c r="U95" i="15"/>
  <c r="U96" i="15"/>
  <c r="U97" i="15"/>
  <c r="U98" i="15"/>
  <c r="U99" i="15"/>
  <c r="U100" i="15"/>
  <c r="U101" i="15"/>
  <c r="U102" i="15"/>
  <c r="U103" i="15"/>
  <c r="U104" i="15"/>
  <c r="U105" i="15"/>
  <c r="U106" i="15"/>
  <c r="U107" i="15"/>
  <c r="U108" i="15"/>
  <c r="U109" i="15"/>
  <c r="U110" i="15"/>
  <c r="U111" i="15"/>
  <c r="U112" i="15"/>
  <c r="U113" i="15"/>
  <c r="U114" i="15"/>
  <c r="U115" i="15"/>
  <c r="U116" i="15"/>
  <c r="U117" i="15"/>
  <c r="U118" i="15"/>
  <c r="U119" i="15"/>
  <c r="U120" i="15"/>
  <c r="U121" i="15"/>
  <c r="U122" i="15"/>
  <c r="U123" i="15"/>
  <c r="U124" i="15"/>
  <c r="U125" i="15"/>
  <c r="U126" i="15"/>
  <c r="U127" i="15"/>
  <c r="U128" i="15"/>
  <c r="U129" i="15"/>
  <c r="U130" i="15"/>
  <c r="U131" i="15"/>
  <c r="U132" i="15"/>
  <c r="U133" i="15"/>
  <c r="U134" i="15"/>
  <c r="U135" i="15"/>
  <c r="U136" i="15"/>
  <c r="U137" i="15"/>
  <c r="U138" i="15"/>
  <c r="U139" i="15"/>
  <c r="U140" i="15"/>
  <c r="U141" i="15"/>
  <c r="U142" i="15"/>
  <c r="U143" i="15"/>
  <c r="U144" i="15"/>
  <c r="U145" i="15"/>
  <c r="U146" i="15"/>
  <c r="U147" i="15"/>
  <c r="U148" i="15"/>
  <c r="U149" i="15"/>
  <c r="U150" i="15"/>
  <c r="U151" i="15"/>
  <c r="U152" i="15"/>
  <c r="U153" i="15"/>
  <c r="U154" i="15"/>
  <c r="U155" i="15"/>
  <c r="U156" i="15"/>
  <c r="U157" i="15"/>
  <c r="U158" i="15"/>
  <c r="U159" i="15"/>
  <c r="U160" i="15"/>
  <c r="U161" i="15"/>
  <c r="U162" i="15"/>
  <c r="U163" i="15"/>
  <c r="U164" i="15"/>
  <c r="U165" i="15"/>
  <c r="U166" i="15"/>
  <c r="U167" i="15"/>
  <c r="U168" i="15"/>
  <c r="U169" i="15"/>
  <c r="U170" i="15"/>
  <c r="U171" i="15"/>
  <c r="U172" i="15"/>
  <c r="U173" i="15"/>
  <c r="U174" i="15"/>
  <c r="U175" i="15"/>
  <c r="U176" i="15"/>
  <c r="U177" i="15"/>
  <c r="U178" i="15"/>
  <c r="U179" i="15"/>
  <c r="U180" i="15"/>
  <c r="U181" i="15"/>
  <c r="U182" i="15"/>
  <c r="U183" i="15"/>
  <c r="U184" i="15"/>
  <c r="U185" i="15"/>
  <c r="U186" i="15"/>
  <c r="U187" i="15"/>
  <c r="U188" i="15"/>
  <c r="U189" i="15"/>
  <c r="U190" i="15"/>
  <c r="U191" i="15"/>
  <c r="U192" i="15"/>
  <c r="U193" i="15"/>
  <c r="U194" i="15"/>
  <c r="U195" i="15"/>
  <c r="U196" i="15"/>
  <c r="U197" i="15"/>
  <c r="U198" i="15"/>
  <c r="U199" i="15"/>
  <c r="U200" i="15"/>
  <c r="U201" i="15"/>
  <c r="U202" i="15"/>
  <c r="U203" i="15"/>
  <c r="U204" i="15"/>
  <c r="U205" i="15"/>
  <c r="U206" i="15"/>
  <c r="U207" i="15"/>
  <c r="U208" i="15"/>
  <c r="U209" i="15"/>
  <c r="U210" i="15"/>
  <c r="U211" i="15"/>
  <c r="U212" i="15"/>
  <c r="U213" i="15"/>
  <c r="U214" i="15"/>
  <c r="U215" i="15"/>
  <c r="U216" i="15"/>
  <c r="U217" i="15"/>
  <c r="U218" i="15"/>
  <c r="U219" i="15"/>
  <c r="U220" i="15"/>
  <c r="U221" i="15"/>
  <c r="U222" i="15"/>
  <c r="U223" i="15"/>
  <c r="U224" i="15"/>
  <c r="U225" i="15"/>
  <c r="U226" i="15"/>
  <c r="U227" i="15"/>
  <c r="U228" i="15"/>
  <c r="U229" i="15"/>
  <c r="U230" i="15"/>
  <c r="U231" i="15"/>
  <c r="U232" i="15"/>
  <c r="U233" i="15"/>
  <c r="U234" i="15"/>
  <c r="U235" i="15"/>
  <c r="U236" i="15"/>
  <c r="U237" i="15"/>
  <c r="U238" i="15"/>
  <c r="U239" i="15"/>
  <c r="U240" i="15"/>
  <c r="U241" i="15"/>
  <c r="U242" i="15"/>
  <c r="U243" i="15"/>
  <c r="U244" i="15"/>
  <c r="U245" i="15"/>
  <c r="U246" i="15"/>
  <c r="U247" i="15"/>
  <c r="U248" i="15"/>
  <c r="U249" i="15"/>
  <c r="U250" i="15"/>
  <c r="U251" i="15"/>
  <c r="U252" i="15"/>
  <c r="U253" i="15"/>
  <c r="U254" i="15"/>
  <c r="U255" i="15"/>
  <c r="U6" i="15"/>
  <c r="R6" i="15"/>
  <c r="R7" i="15"/>
  <c r="O6" i="15"/>
  <c r="O7" i="15"/>
  <c r="E12" i="26"/>
  <c r="E6" i="15"/>
  <c r="Q6" i="15" s="1"/>
  <c r="N255" i="15"/>
  <c r="E7" i="15"/>
  <c r="Q7" i="15" s="1"/>
  <c r="N11" i="15"/>
  <c r="N12" i="15"/>
  <c r="N13" i="15"/>
  <c r="N14" i="15"/>
  <c r="N15" i="15"/>
  <c r="N16" i="15"/>
  <c r="N17" i="15"/>
  <c r="Q18" i="15"/>
  <c r="Q19" i="15"/>
  <c r="N20" i="15"/>
  <c r="Q21" i="15"/>
  <c r="N22" i="15"/>
  <c r="Q23" i="15"/>
  <c r="Q24" i="15"/>
  <c r="Q25" i="15"/>
  <c r="Q26" i="15"/>
  <c r="Q27" i="15"/>
  <c r="Q28" i="15"/>
  <c r="N29" i="15"/>
  <c r="Q30" i="15"/>
  <c r="N31" i="15"/>
  <c r="N32" i="15"/>
  <c r="Q33" i="15"/>
  <c r="N34" i="15"/>
  <c r="N35" i="15"/>
  <c r="N36" i="15"/>
  <c r="N37" i="15"/>
  <c r="Q38" i="15"/>
  <c r="N39" i="15"/>
  <c r="Q40" i="15"/>
  <c r="Q41" i="15"/>
  <c r="Q42" i="15"/>
  <c r="Q43" i="15"/>
  <c r="N44" i="15"/>
  <c r="Q45" i="15"/>
  <c r="Q46" i="15"/>
  <c r="Q47" i="15"/>
  <c r="Q48" i="15"/>
  <c r="Q49" i="15"/>
  <c r="Q50" i="15"/>
  <c r="N51" i="15"/>
  <c r="Q52" i="15"/>
  <c r="N53" i="15"/>
  <c r="N54" i="15"/>
  <c r="N55" i="15"/>
  <c r="N56" i="15"/>
  <c r="Q57" i="15"/>
  <c r="N58" i="15"/>
  <c r="N59" i="15"/>
  <c r="N60" i="15"/>
  <c r="N61" i="15"/>
  <c r="Q62" i="15"/>
  <c r="Q63" i="15"/>
  <c r="N64" i="15"/>
  <c r="Q65" i="15"/>
  <c r="N66" i="15"/>
  <c r="Q67" i="15"/>
  <c r="Q68" i="15"/>
  <c r="Q69" i="15"/>
  <c r="Q70" i="15"/>
  <c r="Q71" i="15"/>
  <c r="Q72" i="15"/>
  <c r="Q73" i="15"/>
  <c r="Q74" i="15"/>
  <c r="N75" i="15"/>
  <c r="N76" i="15"/>
  <c r="N77" i="15"/>
  <c r="N78" i="15"/>
  <c r="Q79" i="15"/>
  <c r="N80" i="15"/>
  <c r="N81" i="15"/>
  <c r="Q82" i="15"/>
  <c r="N83" i="15"/>
  <c r="Q84" i="15"/>
  <c r="Q85" i="15"/>
  <c r="N86" i="15"/>
  <c r="Q87" i="15"/>
  <c r="N88" i="15"/>
  <c r="Q89" i="15"/>
  <c r="Q90" i="15"/>
  <c r="N91" i="15"/>
  <c r="Q92" i="15"/>
  <c r="Q93" i="15"/>
  <c r="Q94" i="15"/>
  <c r="Q95" i="15"/>
  <c r="Q96" i="15"/>
  <c r="N97" i="15"/>
  <c r="N98" i="15"/>
  <c r="N99" i="15"/>
  <c r="N100" i="15"/>
  <c r="Q101" i="15"/>
  <c r="N102" i="15"/>
  <c r="N103" i="15"/>
  <c r="Q104" i="15"/>
  <c r="N105" i="15"/>
  <c r="Q106" i="15"/>
  <c r="Q107" i="15"/>
  <c r="Q108" i="15"/>
  <c r="Q109" i="15"/>
  <c r="N110" i="15"/>
  <c r="Q111" i="15"/>
  <c r="Q112" i="15"/>
  <c r="Q113" i="15"/>
  <c r="Q114" i="15"/>
  <c r="Q115" i="15"/>
  <c r="Q116" i="15"/>
  <c r="Q117" i="15"/>
  <c r="Q118" i="15"/>
  <c r="N119" i="15"/>
  <c r="N120" i="15"/>
  <c r="Q121" i="15"/>
  <c r="N122" i="15"/>
  <c r="N123" i="15"/>
  <c r="N124" i="15"/>
  <c r="N125" i="15"/>
  <c r="N126" i="15"/>
  <c r="N127" i="15"/>
  <c r="Q128" i="15"/>
  <c r="Q129" i="15"/>
  <c r="N130" i="15"/>
  <c r="Q131" i="15"/>
  <c r="N132" i="15"/>
  <c r="Q133" i="15"/>
  <c r="Q134" i="15"/>
  <c r="Q135" i="15"/>
  <c r="Q136" i="15"/>
  <c r="Q137" i="15"/>
  <c r="Q138" i="15"/>
  <c r="N139" i="15"/>
  <c r="Q140" i="15"/>
  <c r="N141" i="15"/>
  <c r="N142" i="15"/>
  <c r="N143" i="15"/>
  <c r="N144" i="15"/>
  <c r="N145" i="15"/>
  <c r="N146" i="15"/>
  <c r="N147" i="15"/>
  <c r="N148" i="15"/>
  <c r="N149" i="15"/>
  <c r="Q150" i="15"/>
  <c r="Q151" i="15"/>
  <c r="Q152" i="15"/>
  <c r="Q153" i="15"/>
  <c r="N154" i="15"/>
  <c r="Q155" i="15"/>
  <c r="Q156" i="15"/>
  <c r="Q157" i="15"/>
  <c r="Q158" i="15"/>
  <c r="Q159" i="15"/>
  <c r="Q160" i="15"/>
  <c r="N161" i="15"/>
  <c r="Q162" i="15"/>
  <c r="N163" i="15"/>
  <c r="N164" i="15"/>
  <c r="N165" i="15"/>
  <c r="N166" i="15"/>
  <c r="Q167" i="15"/>
  <c r="N168" i="15"/>
  <c r="N169" i="15"/>
  <c r="N170" i="15"/>
  <c r="N171" i="15"/>
  <c r="Q172" i="15"/>
  <c r="Q173" i="15"/>
  <c r="N174" i="15"/>
  <c r="Q175" i="15"/>
  <c r="N176" i="15"/>
  <c r="Q177" i="15"/>
  <c r="Q178" i="15"/>
  <c r="Q179" i="15"/>
  <c r="Q180" i="15"/>
  <c r="Q181" i="15"/>
  <c r="Q182" i="15"/>
  <c r="Q183" i="15"/>
  <c r="Q184" i="15"/>
  <c r="N185" i="15"/>
  <c r="N186" i="15"/>
  <c r="Q187" i="15"/>
  <c r="N188" i="15"/>
  <c r="Q189" i="15"/>
  <c r="N190" i="15"/>
  <c r="N191" i="15"/>
  <c r="N192" i="15"/>
  <c r="N193" i="15"/>
  <c r="Q194" i="15"/>
  <c r="Q195" i="15"/>
  <c r="Q196" i="15"/>
  <c r="Q197" i="15"/>
  <c r="N198" i="15"/>
  <c r="Q199" i="15"/>
  <c r="Q200" i="15"/>
  <c r="Q201" i="15"/>
  <c r="Q202" i="15"/>
  <c r="Q203" i="15"/>
  <c r="Q204" i="15"/>
  <c r="N205" i="15"/>
  <c r="Q206" i="15"/>
  <c r="N207" i="15"/>
  <c r="N208" i="15"/>
  <c r="Q209" i="15"/>
  <c r="N210" i="15"/>
  <c r="Q211" i="15"/>
  <c r="N212" i="15"/>
  <c r="N213" i="15"/>
  <c r="Q214" i="15"/>
  <c r="N215" i="15"/>
  <c r="Q216" i="15"/>
  <c r="Q217" i="15"/>
  <c r="Q218" i="15"/>
  <c r="Q219" i="15"/>
  <c r="N220" i="15"/>
  <c r="Q221" i="15"/>
  <c r="Q222" i="15"/>
  <c r="Q223" i="15"/>
  <c r="Q224" i="15"/>
  <c r="Q225" i="15"/>
  <c r="Q226" i="15"/>
  <c r="N227" i="15"/>
  <c r="Q228" i="15"/>
  <c r="N229" i="15"/>
  <c r="N230" i="15"/>
  <c r="N231" i="15"/>
  <c r="N232" i="15"/>
  <c r="Q233" i="15"/>
  <c r="N234" i="15"/>
  <c r="N235" i="15"/>
  <c r="Q236" i="15"/>
  <c r="N237" i="15"/>
  <c r="Q238" i="15"/>
  <c r="Q239" i="15"/>
  <c r="N240" i="15"/>
  <c r="Q241" i="15"/>
  <c r="N242" i="15"/>
  <c r="Q243" i="15"/>
  <c r="Q244" i="15"/>
  <c r="Q245" i="15"/>
  <c r="Q246" i="15"/>
  <c r="Q247" i="15"/>
  <c r="Q248" i="15"/>
  <c r="N249" i="15"/>
  <c r="Q250" i="15"/>
  <c r="N251" i="15"/>
  <c r="N252" i="15"/>
  <c r="N253" i="15"/>
  <c r="N254" i="15"/>
  <c r="M9" i="8" a="1"/>
  <c r="M9" i="8" s="1"/>
  <c r="D41" i="26"/>
  <c r="E42" i="17" l="1"/>
  <c r="E43" i="17"/>
  <c r="U60" i="8"/>
  <c r="V25" i="8"/>
  <c r="V26" i="8"/>
  <c r="V27" i="8"/>
  <c r="V28" i="8"/>
  <c r="V29" i="8"/>
  <c r="V30" i="8"/>
  <c r="V31" i="8"/>
  <c r="T25" i="8"/>
  <c r="T26" i="8"/>
  <c r="T27" i="8"/>
  <c r="T28" i="8"/>
  <c r="T30" i="8"/>
  <c r="T31" i="8"/>
  <c r="AT20" i="8"/>
  <c r="Y29" i="8" s="1"/>
  <c r="AN20" i="8"/>
  <c r="Y28" i="8" s="1"/>
  <c r="Y31" i="8"/>
  <c r="C42" i="17"/>
  <c r="V20" i="8"/>
  <c r="Y25" i="8" s="1"/>
  <c r="AB20" i="8"/>
  <c r="Y26" i="8" s="1"/>
  <c r="AZ20" i="8"/>
  <c r="Y30" i="8" s="1"/>
  <c r="AH20" i="8"/>
  <c r="Y27" i="8" s="1"/>
  <c r="Q35" i="15"/>
  <c r="N38" i="15"/>
  <c r="Q29" i="15"/>
  <c r="Q36" i="15"/>
  <c r="N57" i="15"/>
  <c r="N214" i="15"/>
  <c r="N158" i="15"/>
  <c r="N137" i="15"/>
  <c r="N136" i="15"/>
  <c r="N117" i="15"/>
  <c r="N115" i="15"/>
  <c r="Q44" i="15"/>
  <c r="N236" i="15"/>
  <c r="N225" i="15"/>
  <c r="N26" i="15"/>
  <c r="N224" i="15"/>
  <c r="U59" i="8"/>
  <c r="N233" i="15"/>
  <c r="N25" i="15"/>
  <c r="N157" i="15"/>
  <c r="N135" i="15"/>
  <c r="Q213" i="15"/>
  <c r="N177" i="15"/>
  <c r="N118" i="15"/>
  <c r="Q168" i="15"/>
  <c r="N47" i="15"/>
  <c r="Q149" i="15"/>
  <c r="Q148" i="15"/>
  <c r="N85" i="15"/>
  <c r="Q147" i="15"/>
  <c r="N84" i="15"/>
  <c r="Q146" i="15"/>
  <c r="N82" i="15"/>
  <c r="Q145" i="15"/>
  <c r="N79" i="15"/>
  <c r="Q124" i="15"/>
  <c r="Q22" i="15"/>
  <c r="N223" i="15"/>
  <c r="N134" i="15"/>
  <c r="N45" i="15"/>
  <c r="Q123" i="15"/>
  <c r="Q16" i="15"/>
  <c r="N222" i="15"/>
  <c r="N133" i="15"/>
  <c r="N43" i="15"/>
  <c r="Q235" i="15"/>
  <c r="Q110" i="15"/>
  <c r="Q15" i="15"/>
  <c r="N156" i="15"/>
  <c r="N155" i="15"/>
  <c r="Q240" i="15"/>
  <c r="N46" i="15"/>
  <c r="Q237" i="15"/>
  <c r="Q17" i="15"/>
  <c r="N221" i="15"/>
  <c r="N42" i="15"/>
  <c r="Q234" i="15"/>
  <c r="Q91" i="15"/>
  <c r="Q14" i="15"/>
  <c r="N211" i="15"/>
  <c r="N114" i="15"/>
  <c r="N27" i="15"/>
  <c r="N41" i="15"/>
  <c r="Q88" i="15"/>
  <c r="N197" i="15"/>
  <c r="N113" i="15"/>
  <c r="Q198" i="15"/>
  <c r="Q81" i="15"/>
  <c r="N243" i="15"/>
  <c r="Q132" i="15"/>
  <c r="Q212" i="15"/>
  <c r="N195" i="15"/>
  <c r="N111" i="15"/>
  <c r="N24" i="15"/>
  <c r="Q192" i="15"/>
  <c r="Q20" i="15"/>
  <c r="N216" i="15"/>
  <c r="Q86" i="15"/>
  <c r="Q83" i="15"/>
  <c r="N196" i="15"/>
  <c r="N112" i="15"/>
  <c r="Q80" i="15"/>
  <c r="N106" i="15"/>
  <c r="N23" i="15"/>
  <c r="Q61" i="15"/>
  <c r="N104" i="15"/>
  <c r="Q171" i="15"/>
  <c r="Q60" i="15"/>
  <c r="N67" i="15"/>
  <c r="N217" i="15"/>
  <c r="Q193" i="15"/>
  <c r="N194" i="15"/>
  <c r="Q176" i="15"/>
  <c r="N189" i="15"/>
  <c r="N101" i="15"/>
  <c r="Q170" i="15"/>
  <c r="Q59" i="15"/>
  <c r="N178" i="15"/>
  <c r="Q169" i="15"/>
  <c r="Q58" i="15"/>
  <c r="Q205" i="15"/>
  <c r="N153" i="15"/>
  <c r="N152" i="15"/>
  <c r="Q139" i="15"/>
  <c r="N73" i="15"/>
  <c r="Q130" i="15"/>
  <c r="N109" i="15"/>
  <c r="Q191" i="15"/>
  <c r="Q127" i="15"/>
  <c r="N219" i="15"/>
  <c r="N180" i="15"/>
  <c r="N108" i="15"/>
  <c r="N69" i="15"/>
  <c r="N30" i="15"/>
  <c r="Q249" i="15"/>
  <c r="Q190" i="15"/>
  <c r="Q126" i="15"/>
  <c r="Q66" i="15"/>
  <c r="Q13" i="15"/>
  <c r="N74" i="15"/>
  <c r="N184" i="15"/>
  <c r="N151" i="15"/>
  <c r="N40" i="15"/>
  <c r="N183" i="15"/>
  <c r="N150" i="15"/>
  <c r="N71" i="15"/>
  <c r="N181" i="15"/>
  <c r="N70" i="15"/>
  <c r="N218" i="15"/>
  <c r="N179" i="15"/>
  <c r="N140" i="15"/>
  <c r="N107" i="15"/>
  <c r="N68" i="15"/>
  <c r="Q242" i="15"/>
  <c r="Q125" i="15"/>
  <c r="Q64" i="15"/>
  <c r="N228" i="15"/>
  <c r="N65" i="15"/>
  <c r="Q174" i="15"/>
  <c r="N246" i="15"/>
  <c r="N93" i="15"/>
  <c r="N21" i="15"/>
  <c r="Q51" i="15"/>
  <c r="Q227" i="15"/>
  <c r="N241" i="15"/>
  <c r="N202" i="15"/>
  <c r="N167" i="15"/>
  <c r="N52" i="15"/>
  <c r="N19" i="15"/>
  <c r="Q220" i="15"/>
  <c r="Q103" i="15"/>
  <c r="N247" i="15"/>
  <c r="N175" i="15"/>
  <c r="N96" i="15"/>
  <c r="N206" i="15"/>
  <c r="N173" i="15"/>
  <c r="N62" i="15"/>
  <c r="N244" i="15"/>
  <c r="Q105" i="15"/>
  <c r="N203" i="15"/>
  <c r="N131" i="15"/>
  <c r="N92" i="15"/>
  <c r="N201" i="15"/>
  <c r="N162" i="15"/>
  <c r="N129" i="15"/>
  <c r="N90" i="15"/>
  <c r="N18" i="15"/>
  <c r="Q161" i="15"/>
  <c r="Q102" i="15"/>
  <c r="Q39" i="15"/>
  <c r="N63" i="15"/>
  <c r="N95" i="15"/>
  <c r="N239" i="15"/>
  <c r="N200" i="15"/>
  <c r="N128" i="15"/>
  <c r="N89" i="15"/>
  <c r="N49" i="15"/>
  <c r="Q215" i="15"/>
  <c r="Q154" i="15"/>
  <c r="N250" i="15"/>
  <c r="N245" i="15"/>
  <c r="N172" i="15"/>
  <c r="N238" i="15"/>
  <c r="N199" i="15"/>
  <c r="N159" i="15"/>
  <c r="N87" i="15"/>
  <c r="N48" i="15"/>
  <c r="Q37" i="15"/>
  <c r="N248" i="15"/>
  <c r="N226" i="15"/>
  <c r="N204" i="15"/>
  <c r="N182" i="15"/>
  <c r="N160" i="15"/>
  <c r="N138" i="15"/>
  <c r="N116" i="15"/>
  <c r="N94" i="15"/>
  <c r="N72" i="15"/>
  <c r="N50" i="15"/>
  <c r="N28" i="15"/>
  <c r="Q255" i="15"/>
  <c r="Q254" i="15"/>
  <c r="Q232" i="15"/>
  <c r="Q210" i="15"/>
  <c r="Q188" i="15"/>
  <c r="Q166" i="15"/>
  <c r="Q144" i="15"/>
  <c r="Q122" i="15"/>
  <c r="Q100" i="15"/>
  <c r="Q78" i="15"/>
  <c r="Q56" i="15"/>
  <c r="Q34" i="15"/>
  <c r="Q12" i="15"/>
  <c r="Q252" i="15"/>
  <c r="Q230" i="15"/>
  <c r="Q208" i="15"/>
  <c r="Q186" i="15"/>
  <c r="Q164" i="15"/>
  <c r="Q142" i="15"/>
  <c r="Q120" i="15"/>
  <c r="Q98" i="15"/>
  <c r="Q76" i="15"/>
  <c r="Q54" i="15"/>
  <c r="Q32" i="15"/>
  <c r="Q11" i="15"/>
  <c r="Q253" i="15"/>
  <c r="Q55" i="15"/>
  <c r="Q207" i="15"/>
  <c r="Q163" i="15"/>
  <c r="Q119" i="15"/>
  <c r="Q53" i="15"/>
  <c r="Q231" i="15"/>
  <c r="Q143" i="15"/>
  <c r="Q77" i="15"/>
  <c r="Q251" i="15"/>
  <c r="Q185" i="15"/>
  <c r="Q141" i="15"/>
  <c r="Q97" i="15"/>
  <c r="Q75" i="15"/>
  <c r="Q31" i="15"/>
  <c r="Q229" i="15"/>
  <c r="Q165" i="15"/>
  <c r="Q99" i="15"/>
  <c r="N209" i="15"/>
  <c r="N187" i="15"/>
  <c r="N121" i="15"/>
  <c r="N33" i="15"/>
  <c r="X6" i="15" a="1"/>
  <c r="X6" i="15" s="1"/>
  <c r="Y6" i="15" a="1"/>
  <c r="Y6" i="15" s="1"/>
  <c r="G7" i="15"/>
  <c r="G6" i="15"/>
  <c r="N7" i="15"/>
  <c r="N6" i="15"/>
  <c r="Z6" i="15" a="1"/>
  <c r="Z6" i="15" s="1"/>
  <c r="P20" i="26"/>
  <c r="P18" i="26"/>
  <c r="R20" i="26"/>
  <c r="R18" i="26"/>
  <c r="Q20" i="26"/>
  <c r="Q18" i="26"/>
  <c r="C43" i="17" l="1"/>
  <c r="I35" i="17" s="1"/>
  <c r="Y33" i="8"/>
  <c r="S18" i="26"/>
  <c r="C27" i="26" s="1"/>
  <c r="S20" i="26"/>
  <c r="J33" i="17" l="1"/>
  <c r="J34" i="17"/>
  <c r="J35" i="17"/>
  <c r="C19" i="26"/>
  <c r="AB6" i="15" a="1"/>
  <c r="F21" i="26"/>
  <c r="L23" i="26" l="1" a="1"/>
  <c r="L23" i="26" s="1"/>
  <c r="L24" i="26" s="1"/>
  <c r="L21" i="26" a="1"/>
  <c r="L21" i="26" s="1"/>
  <c r="L22" i="26" s="1"/>
  <c r="F24" i="26"/>
  <c r="F23" i="26"/>
  <c r="F22" i="26"/>
  <c r="AB6" i="15"/>
  <c r="G13" i="18" l="1"/>
  <c r="F31" i="18"/>
  <c r="F30" i="18"/>
  <c r="F29" i="18"/>
  <c r="G31" i="18"/>
  <c r="H31" i="18" s="1"/>
  <c r="G30" i="18"/>
  <c r="H30" i="18" s="1"/>
  <c r="G29" i="18"/>
  <c r="H29" i="18" s="1"/>
  <c r="F1" i="18"/>
  <c r="G1" i="18"/>
  <c r="H1" i="18"/>
  <c r="I1" i="18"/>
  <c r="J1" i="18"/>
  <c r="K1" i="18"/>
  <c r="L1" i="18"/>
  <c r="M1" i="18"/>
  <c r="N1" i="18"/>
  <c r="O1" i="18"/>
  <c r="P1" i="18"/>
  <c r="Q1" i="18"/>
  <c r="E1" i="18"/>
  <c r="F26" i="18"/>
  <c r="G26" i="18"/>
  <c r="F25" i="18"/>
  <c r="F24" i="18"/>
  <c r="G24" i="18" s="1"/>
  <c r="H24" i="18" s="1"/>
  <c r="H26" i="18"/>
  <c r="G25" i="18"/>
  <c r="H25" i="18" s="1"/>
  <c r="F3" i="18"/>
  <c r="G3" i="18"/>
  <c r="H3" i="18"/>
  <c r="I3" i="18"/>
  <c r="J3" i="18"/>
  <c r="K3" i="18"/>
  <c r="L3" i="18"/>
  <c r="M3" i="18"/>
  <c r="N3" i="18"/>
  <c r="O3" i="18"/>
  <c r="P3" i="18"/>
  <c r="Q3" i="18"/>
  <c r="E3" i="18"/>
  <c r="G18" i="18" l="1"/>
  <c r="H18" i="18" s="1"/>
  <c r="G20" i="18"/>
  <c r="H20" i="18" s="1"/>
  <c r="G19" i="18"/>
  <c r="H19" i="18" s="1"/>
  <c r="G15" i="18"/>
  <c r="H15" i="18" s="1"/>
  <c r="F10" i="18"/>
  <c r="F13" i="18" s="1"/>
  <c r="H13" i="18" s="1"/>
  <c r="G10" i="18"/>
  <c r="H10" i="18"/>
  <c r="F14" i="18" s="1"/>
  <c r="G14" i="18" s="1"/>
  <c r="H14" i="18" s="1"/>
  <c r="I10" i="18"/>
  <c r="J10" i="18"/>
  <c r="K10" i="18"/>
  <c r="L10" i="18"/>
  <c r="M10" i="18"/>
  <c r="N10" i="18"/>
  <c r="O10" i="18"/>
  <c r="P10" i="18"/>
  <c r="Q10" i="18"/>
  <c r="E10"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H30" authorId="0" shapeId="0" xr:uid="{9472C3AD-5ACA-4D65-8FBF-0AB7104442B5}">
      <text>
        <r>
          <rPr>
            <sz val="10"/>
            <color indexed="81"/>
            <rFont val="Avenir Next LT Pro"/>
            <family val="2"/>
            <scheme val="major"/>
          </rPr>
          <t>Your soil PAW information can be found on S-map, an online soil map.
https://smap.landcareresearch.co.nz/</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B12" authorId="0" shapeId="0" xr:uid="{0ED35297-BBCE-4EED-88CC-1000E784D2A3}">
      <text>
        <r>
          <rPr>
            <sz val="10"/>
            <color indexed="81"/>
            <rFont val="Avenir Next LT Pro"/>
            <family val="2"/>
            <scheme val="major"/>
          </rPr>
          <t>Your soil PAW information can be found on S-map, an online soil map.
https://smap.landcareresearch.co.nz/</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Sarah</author>
  </authors>
  <commentList>
    <comment ref="J5" authorId="0" shapeId="0" xr:uid="{0D251662-AAF3-466D-8748-30DB0C49A8AE}">
      <text>
        <r>
          <rPr>
            <sz val="9"/>
            <color indexed="81"/>
            <rFont val="Tahoma"/>
            <family val="2"/>
          </rPr>
          <t>Aim for &gt; 5 mm over summer (Oct - Apr)
Aim for &gt; 10 mm over winter (May - Sept)</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<sst xmlns="http://schemas.openxmlformats.org/spreadsheetml/2006/main" count="464" uniqueCount="323">
  <si>
    <t>DRAIN SOLUTION MANAGEMENT PLAN WORKBOOK</t>
  </si>
  <si>
    <r>
      <t xml:space="preserve">This workbook is designed to support covered cropping and hydroponic growers to sustainably manage drain nutrient solution application to land. Drain nutrient solution, or drain solution for short, is the leftover nutrient or fertigation solution from covered cropping and hydroponic systems. Growers need to manage this solution appropriately to minimise environmental risk.
This workbook closely aligns with the Drain Nutrient Solution Management Code of Practice 2026, for covered cropping and hydroponic growers. The Code of Practice steps growers through the process of developing a Drain Solution Management Plan, which includes capturing production and application site information, calculating storage requirements, and responsibly applying drain solution to land. The 2026 Code of Practice can be downloaded from HortNZ's website, under Grower Resources.
The information included in this workbook could be used to help meet regulatory requirements, where applicable. Always contact the council or seek advice when looking to understand what specific requirements may apply.
</t>
    </r>
    <r>
      <rPr>
        <b/>
        <sz val="12"/>
        <color theme="3"/>
        <rFont val="Avenir Next LT Pro"/>
        <family val="2"/>
        <scheme val="minor"/>
      </rPr>
      <t>Instructions:</t>
    </r>
    <r>
      <rPr>
        <sz val="12"/>
        <color theme="1"/>
        <rFont val="Avenir Next LT Pro"/>
        <family val="2"/>
        <scheme val="minor"/>
      </rPr>
      <t xml:space="preserve">
Please use Microsoft Excel to use this workbook to ensure the built in formulas function correctly.
Complete tabs 1 to 6 in the workbook, using the Code of Practice as a reference. The maintenance record tab is an optional space to capture maintenance activities.
The Calculator tab is designed as a standalone tab, to test different scenarios. Use this to guide the development of your Drain Solution Management Plan.
This workbook should be reviewed on an annual basis to track progress towards actions.
To do this, we recommend keeping a working or current version of this workbook e.g. "J Capsicum Farm - DSMP workbook.xlsx", and saving a separate dated copy each year before reviewing. This will allow you to demonstrate progress over time.
This workbook has a number of built-in formulas and links to help make information entry and navigation as easy as possible.
</t>
    </r>
    <r>
      <rPr>
        <b/>
        <sz val="12"/>
        <color theme="3"/>
        <rFont val="Avenir Next LT Pro"/>
        <family val="2"/>
        <scheme val="minor"/>
      </rPr>
      <t>Updates to this workbook may occur at any time. As part of your annual review, please check the HortNZ website to ensure you are using the latest version.</t>
    </r>
    <r>
      <rPr>
        <sz val="12"/>
        <color theme="1"/>
        <rFont val="Avenir Next LT Pro"/>
        <family val="2"/>
        <scheme val="minor"/>
      </rPr>
      <t xml:space="preserve">
</t>
    </r>
  </si>
  <si>
    <t>Cells coloured light yellow are fillable.</t>
  </si>
  <si>
    <t>Workbook contents</t>
  </si>
  <si>
    <t>Calculator</t>
  </si>
  <si>
    <t>Built in formulas to complete all calculations in Section 4 of the Code of Practice: Calculating your requirements.</t>
  </si>
  <si>
    <t>1. Overview</t>
  </si>
  <si>
    <t>Summary of key business details and space to write goals relating to drain nutrient solution management.</t>
  </si>
  <si>
    <t>2. Production site</t>
  </si>
  <si>
    <t>Capture key covered cropping or hydroponic production site details.</t>
  </si>
  <si>
    <t>3. Application site</t>
  </si>
  <si>
    <t>Record key environmental features of the drain solution application site.</t>
  </si>
  <si>
    <t>4. Application record</t>
  </si>
  <si>
    <t>Table to record drain solution land applications and track nutrient loadings.</t>
  </si>
  <si>
    <t>5. Reporting dashboard</t>
  </si>
  <si>
    <t>Downloadable summary report of drain solution land applications, including nutrient loadings.</t>
  </si>
  <si>
    <t>6. Other actions</t>
  </si>
  <si>
    <t>Capture actions relating to drain solution management.</t>
  </si>
  <si>
    <t>Maintenance record</t>
  </si>
  <si>
    <t>Customisable table that could be used as a maintenance log.</t>
  </si>
  <si>
    <r>
      <rPr>
        <sz val="12"/>
        <rFont val="Avenir Next LT Pro"/>
        <family val="2"/>
        <scheme val="minor"/>
      </rPr>
      <t>This Excel workbook will be reviewed, as necessary, by Horticulture New Zealand Incorporated. Suggestions for alterations, deletions or additions to this workbook, should be sent, together with reasons for the change, any relevant data and contact details of the person making the suggestion to</t>
    </r>
    <r>
      <rPr>
        <sz val="12"/>
        <color theme="3"/>
        <rFont val="Avenir Next LT Pro"/>
        <family val="2"/>
        <scheme val="minor"/>
      </rPr>
      <t xml:space="preserve"> info@hortnz.co.nz.
</t>
    </r>
    <r>
      <rPr>
        <sz val="12"/>
        <rFont val="Avenir Next LT Pro"/>
        <family val="2"/>
        <scheme val="minor"/>
      </rPr>
      <t xml:space="preserve">
</t>
    </r>
    <r>
      <rPr>
        <b/>
        <sz val="12"/>
        <color theme="3"/>
        <rFont val="Avenir Next LT Pro"/>
        <family val="2"/>
        <scheme val="minor"/>
      </rPr>
      <t xml:space="preserve">Disclaimer: </t>
    </r>
    <r>
      <rPr>
        <sz val="12"/>
        <rFont val="Avenir Next LT Pro"/>
        <family val="2"/>
        <scheme val="minor"/>
      </rPr>
      <t>Horticulture New Zealand and Agrilink NZ do not accept any responsibility or liability whatsoever for any error of fact, omission, interpretation or opinion that may be present, however it may have occurred.</t>
    </r>
  </si>
  <si>
    <t>Version</t>
  </si>
  <si>
    <t>Date last updated</t>
  </si>
  <si>
    <t>Next review date</t>
  </si>
  <si>
    <t>CALCULATOR: NUTRIENT LOAD &amp; STORAGE</t>
  </si>
  <si>
    <r>
      <t xml:space="preserve">This calculator tab can be used to carry out the calculations in Section 4 of the Code of Practice: Calculating your requirements. Use this tab to guide the development of your Drain Solution Management Plan. As this tab sits separately from the rest of the workbook, any values can be entered to understand the relationship between drain rates, application site size, storage, and nutrient concentrations. All calculations are written out in the Code of Practice.
</t>
    </r>
    <r>
      <rPr>
        <b/>
        <sz val="12"/>
        <color theme="3"/>
        <rFont val="Avenir Next LT Pro"/>
        <family val="2"/>
        <scheme val="minor"/>
      </rPr>
      <t xml:space="preserve">Disclaimer: </t>
    </r>
    <r>
      <rPr>
        <sz val="12"/>
        <color theme="1"/>
        <rFont val="Avenir Next LT Pro"/>
        <family val="2"/>
        <scheme val="minor"/>
      </rPr>
      <t xml:space="preserve">As these calculations use a number of assumptions, your results should only be used as indicative or estimations - consult a specialist if further assistance is needed.
</t>
    </r>
  </si>
  <si>
    <t>1. KEY DETAILS</t>
  </si>
  <si>
    <t>DRAIN SOLUTION RATE CALCULATOR</t>
  </si>
  <si>
    <r>
      <t>Covered cropping production area</t>
    </r>
    <r>
      <rPr>
        <sz val="12"/>
        <color theme="3"/>
        <rFont val="Avenir Next LT Pro"/>
        <family val="2"/>
        <scheme val="minor"/>
      </rPr>
      <t xml:space="preserve"> (ha)</t>
    </r>
  </si>
  <si>
    <t>Summer</t>
  </si>
  <si>
    <t>Winter</t>
  </si>
  <si>
    <r>
      <t xml:space="preserve">Drain application site area </t>
    </r>
    <r>
      <rPr>
        <sz val="12"/>
        <color theme="3"/>
        <rFont val="Avenir Next LT Pro"/>
        <family val="2"/>
        <scheme val="minor"/>
      </rPr>
      <t>(ha)</t>
    </r>
  </si>
  <si>
    <t>Number of shots per day</t>
  </si>
  <si>
    <t>2. WHAT IS MY DRAIN SOLUTION RATE?</t>
  </si>
  <si>
    <r>
      <t xml:space="preserve">Maximum volume per shot </t>
    </r>
    <r>
      <rPr>
        <sz val="12"/>
        <color theme="3"/>
        <rFont val="Avenir Next LT Pro"/>
        <family val="2"/>
        <scheme val="minor"/>
      </rPr>
      <t>(ml)</t>
    </r>
  </si>
  <si>
    <r>
      <t>Your drain rate is the amount of run off generated by your production site each day, that is stored for further management (e.g. irrigation). Calculate and enter rates for both summer and winter. Enter the results as m</t>
    </r>
    <r>
      <rPr>
        <vertAlign val="superscript"/>
        <sz val="12"/>
        <color theme="1"/>
        <rFont val="Avenir Next LT Pro"/>
        <family val="2"/>
        <scheme val="minor"/>
      </rPr>
      <t>3</t>
    </r>
    <r>
      <rPr>
        <sz val="12"/>
        <color theme="1"/>
        <rFont val="Avenir Next LT Pro"/>
        <family val="2"/>
        <scheme val="minor"/>
      </rPr>
      <t>/day/ha of production area, or m</t>
    </r>
    <r>
      <rPr>
        <vertAlign val="superscript"/>
        <sz val="12"/>
        <color theme="1"/>
        <rFont val="Avenir Next LT Pro"/>
        <family val="2"/>
        <scheme val="minor"/>
      </rPr>
      <t>3</t>
    </r>
    <r>
      <rPr>
        <sz val="12"/>
        <color theme="1"/>
        <rFont val="Avenir Next LT Pro"/>
        <family val="2"/>
        <scheme val="minor"/>
      </rPr>
      <t>/day i.e. the daily volume of drain from your whole production site. The average drain rate is a weighted average, based on 5 months for winter (153 days), and 7 months for summer (212 days).</t>
    </r>
  </si>
  <si>
    <r>
      <t xml:space="preserve">Volume supplied by each dripper per day </t>
    </r>
    <r>
      <rPr>
        <sz val="12"/>
        <color theme="3"/>
        <rFont val="Avenir Next LT Pro"/>
        <family val="2"/>
        <scheme val="minor"/>
      </rPr>
      <t>(litres)</t>
    </r>
  </si>
  <si>
    <t>Number of drippers per ha</t>
  </si>
  <si>
    <t>If you already know your summer and winter drain rates, enter them below:</t>
  </si>
  <si>
    <r>
      <t xml:space="preserve">Total volume applied / ha / day </t>
    </r>
    <r>
      <rPr>
        <sz val="12"/>
        <color theme="3"/>
        <rFont val="Avenir Next LT Pro"/>
        <family val="2"/>
        <scheme val="minor"/>
      </rPr>
      <t>(litres)</t>
    </r>
  </si>
  <si>
    <r>
      <t>Summer</t>
    </r>
    <r>
      <rPr>
        <sz val="12"/>
        <color theme="3"/>
        <rFont val="Avenir Next LT Pro"/>
        <family val="2"/>
        <scheme val="minor"/>
      </rPr>
      <t xml:space="preserve"> (1 Oct to 30 April)</t>
    </r>
  </si>
  <si>
    <t>m3/ha/day</t>
  </si>
  <si>
    <t>Percentage run off</t>
  </si>
  <si>
    <r>
      <t xml:space="preserve">Winter </t>
    </r>
    <r>
      <rPr>
        <sz val="12"/>
        <color theme="3"/>
        <rFont val="Avenir Next LT Pro"/>
        <family val="2"/>
        <scheme val="minor"/>
      </rPr>
      <t>(1 May to 30 Sept)</t>
    </r>
  </si>
  <si>
    <r>
      <t>Total drain run off / ha / day</t>
    </r>
    <r>
      <rPr>
        <sz val="12"/>
        <color theme="3"/>
        <rFont val="Avenir Next LT Pro"/>
        <family val="2"/>
        <scheme val="minor"/>
      </rPr>
      <t xml:space="preserve"> (litres)</t>
    </r>
  </si>
  <si>
    <t>Average</t>
  </si>
  <si>
    <r>
      <t>Total drain run off / ha / day</t>
    </r>
    <r>
      <rPr>
        <sz val="12"/>
        <color theme="3"/>
        <rFont val="Avenir Next LT Pro"/>
        <family val="2"/>
        <scheme val="minor"/>
      </rPr>
      <t xml:space="preserve"> (m</t>
    </r>
    <r>
      <rPr>
        <vertAlign val="superscript"/>
        <sz val="12"/>
        <color theme="3"/>
        <rFont val="Avenir Next LT Pro"/>
        <family val="2"/>
        <scheme val="minor"/>
      </rPr>
      <t>3</t>
    </r>
    <r>
      <rPr>
        <sz val="12"/>
        <color theme="3"/>
        <rFont val="Avenir Next LT Pro"/>
        <family val="2"/>
        <scheme val="minor"/>
      </rPr>
      <t>)</t>
    </r>
  </si>
  <si>
    <t>If you don't know your drain rate (i.e. the volume of runoff), estimate it using the calculator on the right.</t>
  </si>
  <si>
    <t>3. WHAT IS MY NUTRIENT LOAD?</t>
  </si>
  <si>
    <t>If all drain solution is applied over the application area:</t>
  </si>
  <si>
    <t>Enter in the average nitrogen concentration and average phosphorus concentration measured in your drain solution below:</t>
  </si>
  <si>
    <t>Nitrogen
load</t>
  </si>
  <si>
    <t>Total kg N</t>
  </si>
  <si>
    <r>
      <t xml:space="preserve">Drain solution nitrogen concentration
</t>
    </r>
    <r>
      <rPr>
        <sz val="12"/>
        <color theme="3"/>
        <rFont val="Avenir Next LT Pro"/>
        <family val="2"/>
        <scheme val="minor"/>
      </rPr>
      <t>(ppm or g/m</t>
    </r>
    <r>
      <rPr>
        <vertAlign val="superscript"/>
        <sz val="12"/>
        <color theme="3"/>
        <rFont val="Avenir Next LT Pro"/>
        <family val="2"/>
        <scheme val="minor"/>
      </rPr>
      <t>3</t>
    </r>
    <r>
      <rPr>
        <sz val="12"/>
        <color theme="3"/>
        <rFont val="Avenir Next LT Pro"/>
        <family val="2"/>
        <scheme val="minor"/>
      </rPr>
      <t xml:space="preserve"> or mg/L)</t>
    </r>
  </si>
  <si>
    <t>kg N/ha/year</t>
  </si>
  <si>
    <r>
      <t xml:space="preserve">Drain solution phosphorus concentration
</t>
    </r>
    <r>
      <rPr>
        <sz val="12"/>
        <color theme="3"/>
        <rFont val="Avenir Next LT Pro"/>
        <family val="2"/>
        <scheme val="minor"/>
      </rPr>
      <t>(ppm or g/m</t>
    </r>
    <r>
      <rPr>
        <vertAlign val="superscript"/>
        <sz val="12"/>
        <color theme="3"/>
        <rFont val="Avenir Next LT Pro"/>
        <family val="2"/>
        <scheme val="minor"/>
      </rPr>
      <t>3</t>
    </r>
    <r>
      <rPr>
        <sz val="12"/>
        <color theme="3"/>
        <rFont val="Avenir Next LT Pro"/>
        <family val="2"/>
        <scheme val="minor"/>
      </rPr>
      <t xml:space="preserve"> or mg/L)</t>
    </r>
  </si>
  <si>
    <t>kg N/ha/month</t>
  </si>
  <si>
    <t>The table to the right will automatically calculate both nitrogen and phosphorus loads, based on nutrient concentrations, drain volume, and application site size. Experiment with different factors to see how the loads are affected (e.g. change application site size, reduce drain volume). Check against your council requirements. Refer to Section 6: Management practices in the Code of Practice to understand what management practices can be put in place to reduce your risk of nutrient loss, if your nutrient load is too high for the crop or ground cover on your application site.</t>
  </si>
  <si>
    <t>Phosphorus
load</t>
  </si>
  <si>
    <t>Total kg P</t>
  </si>
  <si>
    <t>kg P/ha/year</t>
  </si>
  <si>
    <t>kg P/ha/month</t>
  </si>
  <si>
    <t>4. HOW MUCH STORAGE MIGHT I NEED?</t>
  </si>
  <si>
    <t>Biophysical data</t>
  </si>
  <si>
    <r>
      <t xml:space="preserve">This calculator estimates how much storage volume you may need to hold drain solution when conditions are unsuitable for land application, which generally occurs over winter. This calculator uses the percentage of covered and uncovered storage, rainfall and PAW to estimate how many months storage you need, multiplied by the winter drain rate. Find more information in the Code of Practice (Section 4.3) on what figures are used to estimate storage volume. Seek specialist advice if your storage results seem high and significant investment is required because is only meant to provide an indication, based on the biophysical factors provided.
</t>
    </r>
    <r>
      <rPr>
        <b/>
        <sz val="12"/>
        <color theme="3"/>
        <rFont val="Avenir Next LT Pro"/>
        <family val="2"/>
        <scheme val="minor"/>
      </rPr>
      <t xml:space="preserve">
Instructions:</t>
    </r>
    <r>
      <rPr>
        <sz val="12"/>
        <color theme="1"/>
        <rFont val="Avenir Next LT Pro"/>
        <family val="2"/>
        <scheme val="minor"/>
      </rPr>
      <t xml:space="preserve">
First input your biophysical information (annual rainfall and soil PAW). This influences how many months storage are estimated for your operation. Then, select the closest weather station to drain solution storage - this will influence uncovered storage volumes, as rainfall into the storage ponds needs to be accounted for. If left blank, the calculator uses default values.
Then, input in percentages based on either your existing storage, or the approximate proportion you plan to have, if installing more storage. For example, if you have a 500 m</t>
    </r>
    <r>
      <rPr>
        <vertAlign val="superscript"/>
        <sz val="12"/>
        <color theme="1"/>
        <rFont val="Avenir Next LT Pro"/>
        <family val="2"/>
        <scheme val="minor"/>
      </rPr>
      <t>3</t>
    </r>
    <r>
      <rPr>
        <sz val="12"/>
        <color theme="1"/>
        <rFont val="Avenir Next LT Pro"/>
        <family val="2"/>
        <scheme val="minor"/>
      </rPr>
      <t xml:space="preserve"> bladder, and plan to put in a 1,000 m</t>
    </r>
    <r>
      <rPr>
        <vertAlign val="superscript"/>
        <sz val="12"/>
        <color theme="1"/>
        <rFont val="Avenir Next LT Pro"/>
        <family val="2"/>
        <scheme val="minor"/>
      </rPr>
      <t>3</t>
    </r>
    <r>
      <rPr>
        <sz val="12"/>
        <color theme="1"/>
        <rFont val="Avenir Next LT Pro"/>
        <family val="2"/>
        <scheme val="minor"/>
      </rPr>
      <t xml:space="preserve"> pond, then input 33% covered and 67% uncovered.</t>
    </r>
  </si>
  <si>
    <r>
      <t>Annual rainfall</t>
    </r>
    <r>
      <rPr>
        <sz val="12"/>
        <color theme="3"/>
        <rFont val="Avenir Next LT Pro"/>
        <family val="2"/>
        <scheme val="minor"/>
      </rPr>
      <t xml:space="preserve"> (mm)</t>
    </r>
  </si>
  <si>
    <r>
      <t>Soil profile available water at 1 meter [PAW]</t>
    </r>
    <r>
      <rPr>
        <sz val="12"/>
        <color theme="3"/>
        <rFont val="Avenir Next LT Pro"/>
        <family val="2"/>
        <scheme val="minor"/>
      </rPr>
      <t xml:space="preserve"> (mm)</t>
    </r>
  </si>
  <si>
    <t>Closest weather station</t>
  </si>
  <si>
    <t>Storage calculations</t>
  </si>
  <si>
    <t>% covered storage volume</t>
  </si>
  <si>
    <t>% uncovered storage volume</t>
  </si>
  <si>
    <r>
      <rPr>
        <b/>
        <sz val="12"/>
        <color theme="3"/>
        <rFont val="Avenir Next LT Pro"/>
        <family val="2"/>
        <scheme val="minor"/>
      </rPr>
      <t xml:space="preserve">Estimated winter storage volume </t>
    </r>
    <r>
      <rPr>
        <sz val="12"/>
        <color theme="3"/>
        <rFont val="Avenir Next LT Pro"/>
        <family val="2"/>
        <scheme val="minor"/>
      </rPr>
      <t>(m</t>
    </r>
    <r>
      <rPr>
        <vertAlign val="superscript"/>
        <sz val="12"/>
        <color theme="3"/>
        <rFont val="Avenir Next LT Pro"/>
        <family val="2"/>
        <scheme val="minor"/>
      </rPr>
      <t>3</t>
    </r>
    <r>
      <rPr>
        <sz val="12"/>
        <color theme="3"/>
        <rFont val="Avenir Next LT Pro"/>
        <family val="2"/>
        <scheme val="minor"/>
      </rPr>
      <t>)</t>
    </r>
  </si>
  <si>
    <t>To hide</t>
  </si>
  <si>
    <t>Storage</t>
  </si>
  <si>
    <t>Days of storage</t>
  </si>
  <si>
    <t>Uncovered multiplier</t>
  </si>
  <si>
    <t>Calculated drain based on daily rate (m3/day)</t>
  </si>
  <si>
    <t>months storage</t>
  </si>
  <si>
    <t>Calculated drain based on daily rate per hectare (m3/ha/day)</t>
  </si>
  <si>
    <t>Total annual drain volume</t>
  </si>
  <si>
    <t>Average daily drain</t>
  </si>
  <si>
    <t>Daily drain (m3/ha/day)</t>
  </si>
  <si>
    <t>Calculated drain based on daily rate</t>
  </si>
  <si>
    <t>kg N</t>
  </si>
  <si>
    <t>Calculated drain based on total drain</t>
  </si>
  <si>
    <t>kg P</t>
  </si>
  <si>
    <t>1. BUSINESS OVERVIEW</t>
  </si>
  <si>
    <t>1.1 Business details</t>
  </si>
  <si>
    <t>Complete all the key information relating to your operation below for the next 12 months. To be updated as part of your annual review to reflect any changes.</t>
  </si>
  <si>
    <t>Business name</t>
  </si>
  <si>
    <t>Physical address</t>
  </si>
  <si>
    <t>Person responsible</t>
  </si>
  <si>
    <t>Prepared by</t>
  </si>
  <si>
    <t>Date completed</t>
  </si>
  <si>
    <t>1.2 Goals and objectives</t>
  </si>
  <si>
    <r>
      <t xml:space="preserve">Goals keep your plan relevant and focused on what you are trying to achieve. Goals are useful to know if your plan is working and show how you are making decisions tied to risk and desired outcomes. Use this section to fill in your goals relating to this drain solution management plan.
</t>
    </r>
    <r>
      <rPr>
        <i/>
        <sz val="12"/>
        <color theme="1"/>
        <rFont val="Avenir Next LT Pro"/>
        <family val="2"/>
        <scheme val="minor"/>
      </rPr>
      <t>If your business goals and objectives are stored elsewhere, there is no need to fill in the cells below. Just include a link or reference to where your goals are stored.</t>
    </r>
  </si>
  <si>
    <t>Production</t>
  </si>
  <si>
    <t>Financial</t>
  </si>
  <si>
    <t>Environmental</t>
  </si>
  <si>
    <t>Personal</t>
  </si>
  <si>
    <t>2. PRODUCTION SITE DESCRIPTION</t>
  </si>
  <si>
    <r>
      <t xml:space="preserve">Use this table below to capture key design features of your production site (e.g. greenhouse, tunnel houses) that generates the drain nutrient solution this workbook relates to.
This information forms part of your Drain Solution Management Plan (DSMP).
If you have all of this information already captured, for example, as part of your GAP requirements, please indicate that in the yellow cell below and leave this tab blank.
The information in these tables should be accompanied by a detailed system diagram (example provided on the right).
</t>
    </r>
    <r>
      <rPr>
        <b/>
        <sz val="12"/>
        <color theme="3"/>
        <rFont val="Avenir Next LT Pro"/>
        <family val="2"/>
        <scheme val="minor"/>
      </rPr>
      <t>Key points:</t>
    </r>
    <r>
      <rPr>
        <sz val="12"/>
        <color theme="1"/>
        <rFont val="Avenir Next LT Pro"/>
        <family val="2"/>
        <scheme val="minor"/>
      </rPr>
      <t xml:space="preserve">
-  One workbook should be used for each production site and associated drain application site.
-  If you have multiple production sites in a range of locations that each have a drain irrigation site, it is recommended to use a new workbook, so there is one Management Plan per irrigation site.
-  This will help simplify record keeping if different sites are located within different regional councils.
-  If the site contains multiple houses or structures that are constructed or managed differently, fill in one column for each different structure.</t>
    </r>
  </si>
  <si>
    <t>My production information is stored elsewhere:</t>
  </si>
  <si>
    <t>I have up-to-date system diagrams available:</t>
  </si>
  <si>
    <t>2.1 Facility information</t>
  </si>
  <si>
    <r>
      <t xml:space="preserve">Production sites
</t>
    </r>
    <r>
      <rPr>
        <i/>
        <sz val="12"/>
        <color theme="3"/>
        <rFont val="Avenir Next LT Pro"/>
        <family val="2"/>
        <scheme val="minor"/>
      </rPr>
      <t>Fill in multiple columns if your production site contains multiple houses that are constructed or managed differently.</t>
    </r>
  </si>
  <si>
    <t>Name or facility ID</t>
  </si>
  <si>
    <r>
      <t>Production area</t>
    </r>
    <r>
      <rPr>
        <sz val="12"/>
        <color theme="3"/>
        <rFont val="Avenir Next LT Pro"/>
        <family val="2"/>
        <scheme val="minor"/>
      </rPr>
      <t xml:space="preserve"> (m</t>
    </r>
    <r>
      <rPr>
        <vertAlign val="superscript"/>
        <sz val="12"/>
        <color theme="3"/>
        <rFont val="Avenir Next LT Pro"/>
        <family val="2"/>
        <scheme val="minor"/>
      </rPr>
      <t>2</t>
    </r>
    <r>
      <rPr>
        <sz val="12"/>
        <color theme="3"/>
        <rFont val="Avenir Next LT Pro"/>
        <family val="2"/>
        <scheme val="minor"/>
      </rPr>
      <t>)</t>
    </r>
  </si>
  <si>
    <r>
      <t xml:space="preserve">Type of production facility
</t>
    </r>
    <r>
      <rPr>
        <i/>
        <sz val="11"/>
        <color theme="3"/>
        <rFont val="Avenir Next LT Pro"/>
        <family val="2"/>
        <scheme val="minor"/>
      </rPr>
      <t>e.g. tunnel houses, greenhouse</t>
    </r>
  </si>
  <si>
    <r>
      <t xml:space="preserve">Type of system
</t>
    </r>
    <r>
      <rPr>
        <i/>
        <sz val="11"/>
        <color theme="3"/>
        <rFont val="Avenir Next LT Pro"/>
        <family val="2"/>
        <scheme val="minor"/>
      </rPr>
      <t>e.g. run-to-waste, closed reticulated</t>
    </r>
  </si>
  <si>
    <r>
      <t xml:space="preserve">Crop information
</t>
    </r>
    <r>
      <rPr>
        <i/>
        <sz val="11"/>
        <color theme="3"/>
        <rFont val="Avenir Next LT Pro"/>
        <family val="2"/>
        <scheme val="minor"/>
      </rPr>
      <t>e.g. crops grown, annual sequence</t>
    </r>
  </si>
  <si>
    <r>
      <t xml:space="preserve">Rooting environment and media
</t>
    </r>
    <r>
      <rPr>
        <i/>
        <sz val="11"/>
        <color theme="3"/>
        <rFont val="Avenir Next LT Pro"/>
        <family val="2"/>
        <scheme val="minor"/>
      </rPr>
      <t>e.g. rockwool, bag, coir</t>
    </r>
  </si>
  <si>
    <r>
      <t xml:space="preserve">Fertigation method
</t>
    </r>
    <r>
      <rPr>
        <i/>
        <sz val="11"/>
        <color theme="3"/>
        <rFont val="Avenir Next LT Pro"/>
        <family val="2"/>
        <scheme val="minor"/>
      </rPr>
      <t>e.g. dripper, capillary, sprinkler</t>
    </r>
  </si>
  <si>
    <r>
      <t xml:space="preserve">Water source
</t>
    </r>
    <r>
      <rPr>
        <i/>
        <sz val="11"/>
        <color theme="3"/>
        <rFont val="Avenir Next LT Pro"/>
        <family val="2"/>
        <scheme val="minor"/>
      </rPr>
      <t>e.g. roof/rainwater, bore</t>
    </r>
  </si>
  <si>
    <r>
      <t xml:space="preserve">Water treatment system
</t>
    </r>
    <r>
      <rPr>
        <i/>
        <sz val="11"/>
        <color theme="3"/>
        <rFont val="Avenir Next LT Pro"/>
        <family val="2"/>
        <scheme val="minor"/>
      </rPr>
      <t>e.g. ozone</t>
    </r>
  </si>
  <si>
    <t>2.2 Drain solution storage</t>
  </si>
  <si>
    <r>
      <t xml:space="preserve">Description of drain storage
</t>
    </r>
    <r>
      <rPr>
        <i/>
        <sz val="11"/>
        <color theme="3"/>
        <rFont val="Avenir Next LT Pro"/>
        <family val="2"/>
        <scheme val="minor"/>
      </rPr>
      <t>e.g. ponds (lined, unlined), tanks</t>
    </r>
  </si>
  <si>
    <t>Total storage available for drain solution</t>
  </si>
  <si>
    <t>3. APPLICATION SITE DESCRIPTION</t>
  </si>
  <si>
    <r>
      <t xml:space="preserve">Each drain solution application site needs to be assessed for suitability to apply drain nutrient solution. Many factors contribute to the risk of nutrient loss as a result of applying nutrient-rich drain solution to land.
Sites with features that may increase that risk e.g. highly free-draining soils, steep slopes, may be unsuitable for drain solution application to land, or may limit the amount of drain solution that can be applied.
</t>
    </r>
    <r>
      <rPr>
        <b/>
        <sz val="12"/>
        <color theme="3"/>
        <rFont val="Avenir Next LT Pro"/>
        <family val="2"/>
        <scheme val="minor"/>
      </rPr>
      <t>Instructions:</t>
    </r>
    <r>
      <rPr>
        <sz val="12"/>
        <color theme="1"/>
        <rFont val="Avenir Next LT Pro"/>
        <family val="2"/>
        <scheme val="minor"/>
      </rPr>
      <t xml:space="preserve">
Use the tables below to capture key information about your application site that is used to apply drain solution from your production site detailed in tab 2. Production site.
The site information will inform what risk factors are present on your site, which need to be managed to reduce the risk of nutrient loss.
Use the guidance in Section 2: Nutrient loss risk factors in the Drain Nutrient Solution Management Code of Practice.
If the application site is split into several blocks or paddocks, list all blocks, along with their areas, soil type, and ground cover in the table on the right.
Even if you only have one block, enter this into the top row, as the Block ID and Area columns are linked to the application record tab and total application area.
The information in these tables should be accompanied by property maps, which contain the following information:
-   Application site block boundaries
-   Terrain 
-   Soil type
-   Waterbodies, incl. lakes, streams, rivers, drains
-   Other information that may be required by applicable regional council rules (e.g. distances from bores)</t>
    </r>
  </si>
  <si>
    <t>I have maps of the application site(s) available:</t>
  </si>
  <si>
    <r>
      <t xml:space="preserve">Block IDs: 
</t>
    </r>
    <r>
      <rPr>
        <sz val="12"/>
        <color theme="3"/>
        <rFont val="Avenir Next LT Pro"/>
        <family val="2"/>
        <scheme val="minor"/>
      </rPr>
      <t xml:space="preserve">If the application site is split across blocks or paddocks, insert ID/name, areas, soil type and crop (if variable soil or different crops planted across blocks within the site). There is space to add up to 25 blocks.
</t>
    </r>
  </si>
  <si>
    <t>3.1 Drain solution application site overview</t>
  </si>
  <si>
    <t>Address</t>
  </si>
  <si>
    <t>Block ID</t>
  </si>
  <si>
    <r>
      <t xml:space="preserve">Area </t>
    </r>
    <r>
      <rPr>
        <sz val="12"/>
        <color theme="3"/>
        <rFont val="Avenir Next LT Pro"/>
        <family val="2"/>
        <scheme val="minor"/>
      </rPr>
      <t>(ha)</t>
    </r>
  </si>
  <si>
    <t>Soil type</t>
  </si>
  <si>
    <t>Ground cover or crop</t>
  </si>
  <si>
    <r>
      <t>Total application site area</t>
    </r>
    <r>
      <rPr>
        <sz val="12"/>
        <color theme="3"/>
        <rFont val="Avenir Next LT Pro"/>
        <family val="2"/>
        <scheme val="minor"/>
      </rPr>
      <t xml:space="preserve"> (ha)</t>
    </r>
  </si>
  <si>
    <r>
      <t xml:space="preserve">Property description &amp; land use
</t>
    </r>
    <r>
      <rPr>
        <i/>
        <sz val="11"/>
        <color theme="3"/>
        <rFont val="Avenir Next LT Pro"/>
        <family val="2"/>
        <scheme val="minor"/>
      </rPr>
      <t>e.g. owner/occupier, leased for dairy</t>
    </r>
  </si>
  <si>
    <r>
      <t xml:space="preserve">Delivery system for drain solution application
</t>
    </r>
    <r>
      <rPr>
        <i/>
        <sz val="11"/>
        <color theme="3"/>
        <rFont val="Avenir Next LT Pro"/>
        <family val="2"/>
        <scheme val="minor"/>
      </rPr>
      <t>e.g. set sprinklers, moveable sprinklers</t>
    </r>
  </si>
  <si>
    <t>3.2 Biophysical features</t>
  </si>
  <si>
    <r>
      <t>Soil profile available water [PAW]</t>
    </r>
    <r>
      <rPr>
        <sz val="12"/>
        <color theme="3"/>
        <rFont val="Avenir Next LT Pro"/>
        <family val="2"/>
        <scheme val="minor"/>
      </rPr>
      <t xml:space="preserve"> (mm)</t>
    </r>
  </si>
  <si>
    <r>
      <t xml:space="preserve">Description of topography
</t>
    </r>
    <r>
      <rPr>
        <i/>
        <sz val="11"/>
        <color theme="3"/>
        <rFont val="Avenir Next LT Pro"/>
        <family val="2"/>
        <scheme val="minor"/>
      </rPr>
      <t>e.g. gently rolling</t>
    </r>
  </si>
  <si>
    <r>
      <t xml:space="preserve">Site soil description
</t>
    </r>
    <r>
      <rPr>
        <i/>
        <sz val="11"/>
        <color theme="3"/>
        <rFont val="Avenir Next LT Pro"/>
        <family val="2"/>
        <scheme val="minor"/>
      </rPr>
      <t>e.g. heavy clay, some blocks with lighter soils</t>
    </r>
  </si>
  <si>
    <t>3.3 Environment and freshwater</t>
  </si>
  <si>
    <r>
      <t xml:space="preserve">Description of nearby freshwater and freshwater ecosystems
</t>
    </r>
    <r>
      <rPr>
        <i/>
        <sz val="11"/>
        <color theme="3"/>
        <rFont val="Avenir Next LT Pro"/>
        <family val="2"/>
        <scheme val="minor"/>
      </rPr>
      <t>e.g. stream on property with kōura</t>
    </r>
  </si>
  <si>
    <t>3.4 Council requirements</t>
  </si>
  <si>
    <r>
      <t xml:space="preserve">List relevant council rules and consent conditions if applicable
</t>
    </r>
    <r>
      <rPr>
        <i/>
        <sz val="11"/>
        <color theme="3"/>
        <rFont val="Avenir Next LT Pro"/>
        <family val="2"/>
        <scheme val="minor"/>
      </rPr>
      <t>Or provide a link to a separate document, if this information is stored elsewhere</t>
    </r>
  </si>
  <si>
    <t>3.5 Risk factors and risk management</t>
  </si>
  <si>
    <t>Based on the information above, describe the key biophysical and management risk factors that may increase the risk of nutrient loss when applying drain solution:</t>
  </si>
  <si>
    <t>Describe how these risks will be managed,
to reduce the risk of nutrient loss and risk to freshwater and freshwater ecosystems:</t>
  </si>
  <si>
    <t>4. DRAIN SOLUTION APPLICATION RECORD</t>
  </si>
  <si>
    <r>
      <t xml:space="preserve">Use this tab to record drain solution applications on your site captured in tab 3. Application site.
These records feed into the 'Reporting dashboard' tab, where all drain solution applications can be summarised.
</t>
    </r>
    <r>
      <rPr>
        <b/>
        <sz val="12"/>
        <color theme="3"/>
        <rFont val="Avenir Next LT Pro"/>
        <family val="2"/>
        <scheme val="minor"/>
      </rPr>
      <t>Instructions:</t>
    </r>
    <r>
      <rPr>
        <sz val="12"/>
        <color theme="1"/>
        <rFont val="Avenir Next LT Pro"/>
        <family val="2"/>
        <scheme val="minor"/>
      </rPr>
      <t xml:space="preserve">
1. Enter data into the light yellow cells. Block ID and application area are linked to the Block table in tab 3. Application site.
2. When 'drain solution available to apply' is entered, the application depth is automatically calculated.
3. Ensure you have completed a pre-application check before all drain solution applications (see Section 5.1 in the Code).
4. Keep this application record sheet up-to-date, to then use the reporting dashboard to summarise your drain solution applications and track nutrient load.
There is space to add up to 300 applications.
</t>
    </r>
  </si>
  <si>
    <t>APPLICATION RECORD</t>
  </si>
  <si>
    <t>No.</t>
  </si>
  <si>
    <t>Date</t>
  </si>
  <si>
    <r>
      <rPr>
        <b/>
        <sz val="12"/>
        <color theme="3"/>
        <rFont val="Avenir Next LT Pro"/>
        <family val="2"/>
        <scheme val="minor"/>
      </rPr>
      <t xml:space="preserve">Application area
</t>
    </r>
    <r>
      <rPr>
        <sz val="12"/>
        <color theme="3"/>
        <rFont val="Avenir Next LT Pro"/>
        <family val="2"/>
        <scheme val="minor"/>
      </rPr>
      <t>(ha)</t>
    </r>
  </si>
  <si>
    <r>
      <t xml:space="preserve">Drain solution available to apply </t>
    </r>
    <r>
      <rPr>
        <sz val="12"/>
        <color theme="3"/>
        <rFont val="Avenir Next LT Pro"/>
        <family val="2"/>
        <scheme val="minor"/>
      </rPr>
      <t>(m</t>
    </r>
    <r>
      <rPr>
        <vertAlign val="superscript"/>
        <sz val="12"/>
        <color theme="3"/>
        <rFont val="Avenir Next LT Pro"/>
        <family val="2"/>
        <scheme val="minor"/>
      </rPr>
      <t>3</t>
    </r>
    <r>
      <rPr>
        <sz val="12"/>
        <color theme="3"/>
        <rFont val="Avenir Next LT Pro"/>
        <family val="2"/>
        <scheme val="minor"/>
      </rPr>
      <t>)</t>
    </r>
  </si>
  <si>
    <r>
      <rPr>
        <b/>
        <sz val="12"/>
        <color theme="3"/>
        <rFont val="Avenir Next LT Pro"/>
        <family val="2"/>
        <scheme val="minor"/>
      </rPr>
      <t xml:space="preserve">Application depth
</t>
    </r>
    <r>
      <rPr>
        <sz val="12"/>
        <color theme="3"/>
        <rFont val="Avenir Next LT Pro"/>
        <family val="2"/>
        <scheme val="minor"/>
      </rPr>
      <t>(mm)</t>
    </r>
  </si>
  <si>
    <r>
      <t xml:space="preserve">Current land use and ground cover
</t>
    </r>
    <r>
      <rPr>
        <i/>
        <sz val="11"/>
        <color theme="3"/>
        <rFont val="Avenir Next LT Pro"/>
        <family val="2"/>
        <scheme val="minor"/>
      </rPr>
      <t>e.g. stock on permanent pasture</t>
    </r>
  </si>
  <si>
    <r>
      <t xml:space="preserve">Have you conducted a pre-application check?
</t>
    </r>
    <r>
      <rPr>
        <i/>
        <sz val="11"/>
        <color theme="3"/>
        <rFont val="Avenir Next LT Pro"/>
        <family val="2"/>
        <scheme val="minor"/>
      </rPr>
      <t>(Section 5.1 in the COP)</t>
    </r>
  </si>
  <si>
    <r>
      <t xml:space="preserve">Soil moisture
deficit
</t>
    </r>
    <r>
      <rPr>
        <sz val="12"/>
        <color theme="3"/>
        <rFont val="Avenir Next LT Pro"/>
        <family val="2"/>
        <scheme val="minor"/>
      </rPr>
      <t>(mm)</t>
    </r>
    <r>
      <rPr>
        <b/>
        <sz val="12"/>
        <color theme="3"/>
        <rFont val="Avenir Next LT Pro"/>
        <family val="2"/>
        <scheme val="minor"/>
      </rPr>
      <t xml:space="preserve">
</t>
    </r>
    <r>
      <rPr>
        <i/>
        <sz val="11"/>
        <color theme="3"/>
        <rFont val="Avenir Next LT Pro"/>
        <family val="2"/>
        <scheme val="minor"/>
      </rPr>
      <t>Optional</t>
    </r>
  </si>
  <si>
    <t>Column1</t>
  </si>
  <si>
    <r>
      <t xml:space="preserve">Volume of solution applied
</t>
    </r>
    <r>
      <rPr>
        <sz val="12"/>
        <color theme="3"/>
        <rFont val="Avenir Next LT Pro"/>
        <family val="2"/>
        <scheme val="minor"/>
      </rPr>
      <t>(m</t>
    </r>
    <r>
      <rPr>
        <vertAlign val="superscript"/>
        <sz val="12"/>
        <color theme="3"/>
        <rFont val="Avenir Next LT Pro"/>
        <family val="2"/>
        <scheme val="minor"/>
      </rPr>
      <t>3</t>
    </r>
    <r>
      <rPr>
        <sz val="12"/>
        <color theme="3"/>
        <rFont val="Avenir Next LT Pro"/>
        <family val="2"/>
        <scheme val="minor"/>
      </rPr>
      <t>)</t>
    </r>
  </si>
  <si>
    <r>
      <t xml:space="preserve">Nitrogen concentration in drain solution
</t>
    </r>
    <r>
      <rPr>
        <sz val="12"/>
        <color theme="3"/>
        <rFont val="Avenir Next LT Pro"/>
        <family val="2"/>
        <scheme val="minor"/>
      </rPr>
      <t xml:space="preserve"> (ppm or mg/L)</t>
    </r>
  </si>
  <si>
    <r>
      <t xml:space="preserve">Nitrogen application rate
</t>
    </r>
    <r>
      <rPr>
        <sz val="12"/>
        <color theme="3"/>
        <rFont val="Avenir Next LT Pro"/>
        <family val="2"/>
        <scheme val="minor"/>
      </rPr>
      <t>(kg N/ha)</t>
    </r>
  </si>
  <si>
    <t>kgN</t>
  </si>
  <si>
    <r>
      <t xml:space="preserve">Phosphorus concentration in drain solution
</t>
    </r>
    <r>
      <rPr>
        <sz val="12"/>
        <color theme="3"/>
        <rFont val="Avenir Next LT Pro"/>
        <family val="2"/>
        <scheme val="minor"/>
      </rPr>
      <t>(ppm or mg/L)</t>
    </r>
  </si>
  <si>
    <r>
      <t xml:space="preserve">Phosphorus application rate
</t>
    </r>
    <r>
      <rPr>
        <sz val="12"/>
        <color theme="3"/>
        <rFont val="Avenir Next LT Pro"/>
        <family val="2"/>
        <scheme val="minor"/>
      </rPr>
      <t>(kg P/ha)</t>
    </r>
  </si>
  <si>
    <t>kgP</t>
  </si>
  <si>
    <t>Notes</t>
  </si>
  <si>
    <t>Volume</t>
  </si>
  <si>
    <t>Block</t>
  </si>
  <si>
    <t>area</t>
  </si>
  <si>
    <t>Date filtered</t>
  </si>
  <si>
    <t>Volume filtered</t>
  </si>
  <si>
    <t>Blockfilter</t>
  </si>
  <si>
    <t>area filter</t>
  </si>
  <si>
    <t>kgN filter</t>
  </si>
  <si>
    <t>kgP filter</t>
  </si>
  <si>
    <t>5. REPORTING DASHBOARD</t>
  </si>
  <si>
    <r>
      <t xml:space="preserve">This dashboard supports you to track your drain solution applications and nutrient loadings over time.
Using the cells below, the dashboard uses the application records entered into tab 4. Application record to provide an application summary.
This could be used for consent purposes or for growers to track their nutrient loadings over the month or year, if required for nutrient budgeting or to meet council standards.
The dashboard has been set up for you to easily print to pdf, if a hard copy is needed.
</t>
    </r>
    <r>
      <rPr>
        <b/>
        <sz val="12"/>
        <color theme="3"/>
        <rFont val="Avenir Next LT Pro"/>
        <family val="2"/>
        <scheme val="minor"/>
      </rPr>
      <t>Instructions:</t>
    </r>
    <r>
      <rPr>
        <sz val="12"/>
        <color theme="1"/>
        <rFont val="Avenir Next LT Pro"/>
        <family val="2"/>
        <scheme val="minor"/>
      </rPr>
      <t xml:space="preserve">
1. The business details are prepopulated, based on information entered into the tabs 1. Overview and 3. Application site.
2. Enter in the start and end dates for the period you would like summary data for. Use the dropdowns provided.
4. Note down what crops or ground cover were present for the reporting period (e.g. ryegrass pasture for dairy)
3. If there is data available for the dates used, the application summary and graph will populate.
</t>
    </r>
    <r>
      <rPr>
        <b/>
        <sz val="12"/>
        <color theme="3"/>
        <rFont val="Avenir Next LT Pro"/>
        <family val="2"/>
        <scheme val="minor"/>
      </rPr>
      <t>To print or save as a pdf:</t>
    </r>
    <r>
      <rPr>
        <sz val="12"/>
        <color theme="1"/>
        <rFont val="Avenir Next LT Pro"/>
        <family val="2"/>
        <scheme val="minor"/>
      </rPr>
      <t xml:space="preserve">
1. To save this page as a pdf for printing or filing purposes, select File &gt; Print.
2. Select 'Microsoft Print to pdf' from the dropdown printer menu.
3. Click print, then choose a file name and save in a suitable location when prompted.
</t>
    </r>
  </si>
  <si>
    <t>DRAIN NUTRIENT SOLUTION APPLICATION REPORT</t>
  </si>
  <si>
    <t>BUSINESS DETAILS</t>
  </si>
  <si>
    <t>REPORTING PERIOD</t>
  </si>
  <si>
    <t>Business name:</t>
  </si>
  <si>
    <t>Day</t>
  </si>
  <si>
    <t>Month</t>
  </si>
  <si>
    <t>Year</t>
  </si>
  <si>
    <t>Date prepared:</t>
  </si>
  <si>
    <t>Start date</t>
  </si>
  <si>
    <t>January</t>
  </si>
  <si>
    <t>Application site address:</t>
  </si>
  <si>
    <t>End date</t>
  </si>
  <si>
    <t>June</t>
  </si>
  <si>
    <t>calculation cells</t>
  </si>
  <si>
    <r>
      <t>Total application area</t>
    </r>
    <r>
      <rPr>
        <sz val="12"/>
        <color theme="3"/>
        <rFont val="Avenir Next LT Pro"/>
        <family val="2"/>
        <scheme val="minor"/>
      </rPr>
      <t xml:space="preserve"> (ha)</t>
    </r>
  </si>
  <si>
    <t>Ground cover/crop(s)</t>
  </si>
  <si>
    <t>DRAIN SOLUTION APPLICATION SUMMARY</t>
  </si>
  <si>
    <t>day</t>
  </si>
  <si>
    <t>month</t>
  </si>
  <si>
    <t>year</t>
  </si>
  <si>
    <t>date</t>
  </si>
  <si>
    <t>start date</t>
  </si>
  <si>
    <t>DRAIN APPLICATION VOLUMES</t>
  </si>
  <si>
    <t>NUTRIENTS APPLIED</t>
  </si>
  <si>
    <t>end date</t>
  </si>
  <si>
    <r>
      <t xml:space="preserve">Total drain volume applied </t>
    </r>
    <r>
      <rPr>
        <sz val="12"/>
        <color theme="3"/>
        <rFont val="Avenir Next LT Pro"/>
        <family val="2"/>
        <scheme val="minor"/>
      </rPr>
      <t>(m</t>
    </r>
    <r>
      <rPr>
        <vertAlign val="superscript"/>
        <sz val="12"/>
        <color theme="3"/>
        <rFont val="Avenir Next LT Pro"/>
        <family val="2"/>
        <scheme val="minor"/>
      </rPr>
      <t>3</t>
    </r>
    <r>
      <rPr>
        <sz val="12"/>
        <color theme="3"/>
        <rFont val="Avenir Next LT Pro"/>
        <family val="2"/>
        <scheme val="minor"/>
      </rPr>
      <t>)</t>
    </r>
  </si>
  <si>
    <r>
      <t xml:space="preserve">Total </t>
    </r>
    <r>
      <rPr>
        <b/>
        <sz val="12"/>
        <color theme="9"/>
        <rFont val="Avenir Next LT Pro"/>
        <family val="2"/>
        <scheme val="minor"/>
      </rPr>
      <t>nitrogen</t>
    </r>
    <r>
      <rPr>
        <b/>
        <sz val="12"/>
        <color theme="3"/>
        <rFont val="Avenir Next LT Pro"/>
        <family val="2"/>
        <scheme val="minor"/>
      </rPr>
      <t xml:space="preserve"> applied over reporting period </t>
    </r>
    <r>
      <rPr>
        <sz val="12"/>
        <color theme="3"/>
        <rFont val="Avenir Next LT Pro"/>
        <family val="2"/>
        <scheme val="minor"/>
      </rPr>
      <t>(kg N/ha)</t>
    </r>
  </si>
  <si>
    <r>
      <t>Total hectares of drain solution applied</t>
    </r>
    <r>
      <rPr>
        <sz val="12"/>
        <color theme="3"/>
        <rFont val="Avenir Next LT Pro"/>
        <family val="2"/>
        <scheme val="minor"/>
      </rPr>
      <t xml:space="preserve"> (ha)</t>
    </r>
  </si>
  <si>
    <r>
      <t xml:space="preserve">Average monthly </t>
    </r>
    <r>
      <rPr>
        <b/>
        <sz val="12"/>
        <color theme="9"/>
        <rFont val="Avenir Next LT Pro"/>
        <family val="2"/>
        <scheme val="minor"/>
      </rPr>
      <t>nitrogen</t>
    </r>
    <r>
      <rPr>
        <b/>
        <sz val="12"/>
        <color theme="3"/>
        <rFont val="Avenir Next LT Pro"/>
        <family val="2"/>
        <scheme val="minor"/>
      </rPr>
      <t xml:space="preserve"> application rate </t>
    </r>
    <r>
      <rPr>
        <sz val="12"/>
        <color theme="3"/>
        <rFont val="Avenir Next LT Pro"/>
        <family val="2"/>
        <scheme val="minor"/>
      </rPr>
      <t>(kg N/ha)</t>
    </r>
  </si>
  <si>
    <r>
      <t xml:space="preserve">Average daily application rate </t>
    </r>
    <r>
      <rPr>
        <sz val="12"/>
        <color theme="3"/>
        <rFont val="Avenir Next LT Pro"/>
        <family val="2"/>
        <scheme val="minor"/>
      </rPr>
      <t>(m</t>
    </r>
    <r>
      <rPr>
        <vertAlign val="superscript"/>
        <sz val="12"/>
        <color theme="3"/>
        <rFont val="Avenir Next LT Pro"/>
        <family val="2"/>
        <scheme val="minor"/>
      </rPr>
      <t>3</t>
    </r>
    <r>
      <rPr>
        <sz val="12"/>
        <color theme="3"/>
        <rFont val="Avenir Next LT Pro"/>
        <family val="2"/>
        <scheme val="minor"/>
      </rPr>
      <t>/day)</t>
    </r>
  </si>
  <si>
    <r>
      <t xml:space="preserve">Total </t>
    </r>
    <r>
      <rPr>
        <b/>
        <sz val="12"/>
        <color theme="9"/>
        <rFont val="Avenir Next LT Pro"/>
        <family val="2"/>
        <scheme val="minor"/>
      </rPr>
      <t>phosphorus</t>
    </r>
    <r>
      <rPr>
        <b/>
        <sz val="12"/>
        <color theme="3"/>
        <rFont val="Avenir Next LT Pro"/>
        <family val="2"/>
        <scheme val="minor"/>
      </rPr>
      <t xml:space="preserve"> applied over reporting period </t>
    </r>
    <r>
      <rPr>
        <sz val="12"/>
        <color theme="3"/>
        <rFont val="Avenir Next LT Pro"/>
        <family val="2"/>
        <scheme val="minor"/>
      </rPr>
      <t>(kg P/ha)</t>
    </r>
  </si>
  <si>
    <r>
      <t xml:space="preserve">Average monthly application rate </t>
    </r>
    <r>
      <rPr>
        <sz val="12"/>
        <color theme="3"/>
        <rFont val="Avenir Next LT Pro"/>
        <family val="2"/>
        <scheme val="minor"/>
      </rPr>
      <t>(m</t>
    </r>
    <r>
      <rPr>
        <vertAlign val="superscript"/>
        <sz val="12"/>
        <color theme="3"/>
        <rFont val="Avenir Next LT Pro"/>
        <family val="2"/>
        <scheme val="minor"/>
      </rPr>
      <t>3</t>
    </r>
    <r>
      <rPr>
        <sz val="12"/>
        <color theme="3"/>
        <rFont val="Avenir Next LT Pro"/>
        <family val="2"/>
        <scheme val="minor"/>
      </rPr>
      <t>/month)</t>
    </r>
  </si>
  <si>
    <r>
      <t xml:space="preserve">Average monthly </t>
    </r>
    <r>
      <rPr>
        <b/>
        <sz val="12"/>
        <color theme="9"/>
        <rFont val="Avenir Next LT Pro"/>
        <family val="2"/>
        <scheme val="minor"/>
      </rPr>
      <t>phosphorus</t>
    </r>
    <r>
      <rPr>
        <b/>
        <sz val="12"/>
        <color theme="3"/>
        <rFont val="Avenir Next LT Pro"/>
        <family val="2"/>
        <scheme val="minor"/>
      </rPr>
      <t xml:space="preserve"> application rate </t>
    </r>
    <r>
      <rPr>
        <sz val="12"/>
        <color theme="3"/>
        <rFont val="Avenir Next LT Pro"/>
        <family val="2"/>
        <scheme val="minor"/>
      </rPr>
      <t>(kg P/ha)</t>
    </r>
  </si>
  <si>
    <t>VOLUME APPLIED OVER TIME</t>
  </si>
  <si>
    <t>Report prepared using the Drain Solution Management Plan workbook, developed by HortNZ and Agrilink NZ.</t>
  </si>
  <si>
    <t>Version:</t>
  </si>
  <si>
    <t>6. OTHER ACTIONS</t>
  </si>
  <si>
    <t>Use this table to record any actions relating to your Drain Solution Management Plan. Review this regularly to monitor progress towards actions. There is space for 25 actions.</t>
  </si>
  <si>
    <t>Category / management area</t>
  </si>
  <si>
    <r>
      <t xml:space="preserve">Action to be completed
</t>
    </r>
    <r>
      <rPr>
        <i/>
        <sz val="10"/>
        <color theme="3"/>
        <rFont val="Avenir Next LT Pro"/>
        <family val="2"/>
        <scheme val="minor"/>
      </rPr>
      <t>(incl. frequency)</t>
    </r>
  </si>
  <si>
    <t>Location</t>
  </si>
  <si>
    <t>Existing or new action</t>
  </si>
  <si>
    <t>Expected date of completion</t>
  </si>
  <si>
    <t>Actual date of completion</t>
  </si>
  <si>
    <t>Evidence and supporting comments</t>
  </si>
  <si>
    <t>MAINTENANCE RECORD</t>
  </si>
  <si>
    <t xml:space="preserve">Use this tab to record maintenance activities for the storage and irrigation systems. The headings can be edited to suit your needs.
Activities might include:
- Checking pipe connections and looking for leaks
- Checking emitters are functioning correctly
- Assessing application site for ponding
</t>
  </si>
  <si>
    <t>Maintenance activity</t>
  </si>
  <si>
    <t>We don't need this in the calc.</t>
  </si>
  <si>
    <t>Used to estimate open pond additional storage due to net rainfall</t>
  </si>
  <si>
    <t>Auckland</t>
  </si>
  <si>
    <t>Palmerston North</t>
  </si>
  <si>
    <t>Gisborne</t>
  </si>
  <si>
    <t>Hastings</t>
  </si>
  <si>
    <t>Nelson</t>
  </si>
  <si>
    <t>Christchurch</t>
  </si>
  <si>
    <t>Dunedin</t>
  </si>
  <si>
    <t>ET</t>
  </si>
  <si>
    <t>Rainfall</t>
  </si>
  <si>
    <t>Net rainfall</t>
  </si>
  <si>
    <t>Radiation</t>
  </si>
  <si>
    <t>mm</t>
  </si>
  <si>
    <t>mm/day</t>
  </si>
  <si>
    <r>
      <t>J/cm</t>
    </r>
    <r>
      <rPr>
        <vertAlign val="superscript"/>
        <sz val="10"/>
        <rFont val="Arial"/>
        <family val="2"/>
      </rPr>
      <t>2</t>
    </r>
    <r>
      <rPr>
        <sz val="11"/>
        <color rgb="FF000000"/>
        <rFont val="Avenir Next LT Pro"/>
        <family val="2"/>
        <scheme val="minor"/>
      </rPr>
      <t>/day</t>
    </r>
  </si>
  <si>
    <t>Discharge site ID</t>
  </si>
  <si>
    <t>February</t>
  </si>
  <si>
    <t>March</t>
  </si>
  <si>
    <t>April</t>
  </si>
  <si>
    <t>May</t>
  </si>
  <si>
    <t>Yes</t>
  </si>
  <si>
    <t>Low risk</t>
  </si>
  <si>
    <t>No</t>
  </si>
  <si>
    <t>High risk</t>
  </si>
  <si>
    <t>July</t>
  </si>
  <si>
    <t>Partial</t>
  </si>
  <si>
    <t>August</t>
  </si>
  <si>
    <t>N/A</t>
  </si>
  <si>
    <t>September</t>
  </si>
  <si>
    <t>October</t>
  </si>
  <si>
    <t>November</t>
  </si>
  <si>
    <t>No - Captured below</t>
  </si>
  <si>
    <t>December</t>
  </si>
  <si>
    <t>Total</t>
  </si>
  <si>
    <t>Jun - Aug avg</t>
  </si>
  <si>
    <t>winter rain</t>
  </si>
  <si>
    <t>winter net rain</t>
  </si>
  <si>
    <t>Net rainfall + 10%</t>
  </si>
  <si>
    <t>Effluent category</t>
  </si>
  <si>
    <t>A - High risk</t>
  </si>
  <si>
    <t>B - High risk</t>
  </si>
  <si>
    <t>C - High risk</t>
  </si>
  <si>
    <t>D - Low risk</t>
  </si>
  <si>
    <t>use 1.5 as the multiplier for uncovered.</t>
  </si>
  <si>
    <t>E - Low risk</t>
  </si>
  <si>
    <t>F - Low risk</t>
  </si>
  <si>
    <t>m3/day</t>
  </si>
  <si>
    <t>This has replaced the calculations above.</t>
  </si>
  <si>
    <t>Uncovered</t>
  </si>
  <si>
    <t>Covered</t>
  </si>
  <si>
    <t>multiplier</t>
  </si>
  <si>
    <t>storage volume based on discharging 3650 m3/yr</t>
  </si>
  <si>
    <t>It is calc. as a proportion of total drain</t>
  </si>
  <si>
    <t>Annual rainfall</t>
  </si>
  <si>
    <t>PAW</t>
  </si>
  <si>
    <t>length</t>
  </si>
  <si>
    <t>width</t>
  </si>
  <si>
    <t>Northland (Whangarei)</t>
  </si>
  <si>
    <t>Auckland - Kumeu</t>
  </si>
  <si>
    <t>Auckland - Pukekohe</t>
  </si>
  <si>
    <t>Hamilton</t>
  </si>
  <si>
    <t>Levin</t>
  </si>
  <si>
    <t>Hastings (Bridge Pa)</t>
  </si>
  <si>
    <t>Nelson (Brightwater)</t>
  </si>
  <si>
    <t>Christchurch (Lincoln)</t>
  </si>
  <si>
    <t>Dunedin (Airport)</t>
  </si>
  <si>
    <t>Default</t>
  </si>
  <si>
    <t>rainfall</t>
  </si>
  <si>
    <t>row</t>
  </si>
  <si>
    <t>column</t>
  </si>
  <si>
    <t>High</t>
  </si>
  <si>
    <t>Moderate</t>
  </si>
  <si>
    <t>Low</t>
  </si>
  <si>
    <t xml:space="preserve">Storage </t>
  </si>
  <si>
    <t>christchurch</t>
  </si>
  <si>
    <t>summer</t>
  </si>
  <si>
    <t>winter</t>
  </si>
  <si>
    <t>Jan</t>
  </si>
  <si>
    <t>Feb</t>
  </si>
  <si>
    <t>Mar</t>
  </si>
  <si>
    <t>Apr</t>
  </si>
  <si>
    <t>Jun</t>
  </si>
  <si>
    <t>Jul</t>
  </si>
  <si>
    <t>Aug</t>
  </si>
  <si>
    <t>Sept</t>
  </si>
  <si>
    <t>Oct</t>
  </si>
  <si>
    <t>Nov</t>
  </si>
  <si>
    <t>Dec</t>
  </si>
  <si>
    <t>annual</t>
  </si>
  <si>
    <t>mj/m2/day</t>
  </si>
  <si>
    <t>j/cm2/day</t>
  </si>
  <si>
    <t>j/cm2</t>
  </si>
  <si>
    <t>L/m2</t>
  </si>
  <si>
    <t>m3/ha</t>
  </si>
  <si>
    <t>NIWA report</t>
  </si>
  <si>
    <t>summer (30-40)</t>
  </si>
  <si>
    <t>winter (15-20)</t>
  </si>
  <si>
    <t>annual (25-30)</t>
  </si>
  <si>
    <t>COP 2007</t>
  </si>
  <si>
    <t>CHCH</t>
  </si>
  <si>
    <t>whatwhata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</si>
</sst>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F800]dddd\,\ mmmm\ dd\,\ yyyy"/>
  </numFmts>
  <fonts count="53">
    <font>
      <sz val="11"/>
      <color theme="1"/>
      <name val="Avenir Next LT Pro"/>
      <family val="2"/>
      <scheme val="minor"/>
    </font>
    <font>
      <i/>
      <sz val="11"/>
      <color theme="1"/>
      <name val="Avenir Next LT Pro"/>
      <family val="2"/>
      <scheme val="minor"/>
    </font>
    <font>
      <b/>
      <sz val="14"/>
      <color theme="3"/>
      <name val="Avenir Next LT Pro"/>
      <family val="2"/>
      <scheme val="minor"/>
    </font>
    <font>
      <sz val="12"/>
      <color theme="1"/>
      <name val="Avenir Next LT Pro"/>
      <family val="2"/>
      <scheme val="minor"/>
    </font>
    <font>
      <b/>
      <sz val="12"/>
      <color theme="3"/>
      <name val="Avenir Next LT Pro"/>
      <family val="2"/>
      <scheme val="minor"/>
    </font>
    <font>
      <sz val="11"/>
      <color theme="1"/>
      <name val="Avenir Next LT Pro"/>
      <family val="2"/>
      <scheme val="major"/>
    </font>
    <font>
      <sz val="12"/>
      <color theme="3"/>
      <name val="Avenir Next LT Pro"/>
      <family val="2"/>
      <scheme val="minor"/>
    </font>
    <font>
      <i/>
      <sz val="11"/>
      <color theme="3"/>
      <name val="Avenir Next LT Pro"/>
      <family val="2"/>
      <scheme val="minor"/>
    </font>
    <font>
      <b/>
      <sz val="14"/>
      <color theme="2" tint="-0.499984740745262"/>
      <name val="Avenir Next LT Pro"/>
      <family val="2"/>
      <scheme val="minor"/>
    </font>
    <font>
      <b/>
      <sz val="11"/>
      <color theme="1"/>
      <name val="Avenir Next LT Pro"/>
      <family val="2"/>
      <scheme val="minor"/>
    </font>
    <font>
      <sz val="11"/>
      <color rgb="FFFF0000"/>
      <name val="Avenir Next LT Pro"/>
      <family val="2"/>
      <scheme val="major"/>
    </font>
    <font>
      <sz val="8"/>
      <name val="Avenir Next LT Pro"/>
      <family val="2"/>
      <scheme val="minor"/>
    </font>
    <font>
      <sz val="10"/>
      <color indexed="81"/>
      <name val="Avenir Next LT Pro"/>
      <family val="2"/>
      <scheme val="major"/>
    </font>
    <font>
      <b/>
      <sz val="11"/>
      <color theme="3"/>
      <name val="Avenir Next LT Pro"/>
      <family val="2"/>
      <scheme val="minor"/>
    </font>
    <font>
      <i/>
      <sz val="12"/>
      <color theme="3"/>
      <name val="Avenir Next LT Pro"/>
      <family val="2"/>
      <scheme val="minor"/>
    </font>
    <font>
      <i/>
      <sz val="10"/>
      <color theme="3"/>
      <name val="Avenir Next LT Pro"/>
      <family val="2"/>
      <scheme val="minor"/>
    </font>
    <font>
      <vertAlign val="superscript"/>
      <sz val="12"/>
      <color theme="3"/>
      <name val="Avenir Next LT Pro"/>
      <family val="2"/>
      <scheme val="minor"/>
    </font>
    <font>
      <sz val="16"/>
      <color theme="1"/>
      <name val="Avenir Next LT Pro"/>
      <family val="2"/>
      <scheme val="minor"/>
    </font>
    <font>
      <b/>
      <sz val="14"/>
      <color rgb="FF4E6976"/>
      <name val="Avenir Next LT Pro"/>
      <family val="2"/>
      <scheme val="minor"/>
    </font>
    <font>
      <sz val="11"/>
      <color theme="3"/>
      <name val="Avenir Next LT Pro"/>
      <family val="2"/>
      <scheme val="minor"/>
    </font>
    <font>
      <b/>
      <sz val="12"/>
      <name val="Avenir Next LT Pro"/>
      <family val="2"/>
      <scheme val="minor"/>
    </font>
    <font>
      <sz val="12"/>
      <name val="Avenir Next LT Pro"/>
      <family val="2"/>
      <scheme val="minor"/>
    </font>
    <font>
      <sz val="14"/>
      <color theme="1"/>
      <name val="Avenir Next LT Pro"/>
      <family val="2"/>
      <scheme val="minor"/>
    </font>
    <font>
      <sz val="36"/>
      <color theme="1"/>
      <name val="Aptos Black"/>
      <family val="2"/>
    </font>
    <font>
      <b/>
      <sz val="28"/>
      <color theme="4"/>
      <name val="Avenir Next LT Pro"/>
      <family val="2"/>
      <scheme val="minor"/>
    </font>
    <font>
      <sz val="28"/>
      <color theme="1"/>
      <name val="Aptos Black"/>
      <family val="2"/>
    </font>
    <font>
      <sz val="11"/>
      <color theme="1"/>
      <name val="Avenir Next LT Pro"/>
      <family val="2"/>
      <scheme val="minor"/>
    </font>
    <font>
      <b/>
      <sz val="30"/>
      <color theme="4"/>
      <name val="Avenir Next LT Pro"/>
      <family val="2"/>
      <scheme val="minor"/>
    </font>
    <font>
      <sz val="30"/>
      <color theme="1"/>
      <name val="Aptos Black"/>
      <family val="2"/>
    </font>
    <font>
      <sz val="10"/>
      <name val="Arial"/>
      <family val="2"/>
    </font>
    <font>
      <sz val="9"/>
      <color indexed="81"/>
      <name val="Tahoma"/>
      <family val="2"/>
    </font>
    <font>
      <b/>
      <sz val="16"/>
      <color theme="3"/>
      <name val="Avenir Next LT Pro"/>
      <family val="2"/>
      <scheme val="minor"/>
    </font>
    <font>
      <sz val="12"/>
      <color theme="1" tint="0.14999847407452621"/>
      <name val="Avenir Next LT Pro"/>
      <family val="2"/>
      <scheme val="minor"/>
    </font>
    <font>
      <sz val="11"/>
      <color theme="1" tint="0.14999847407452621"/>
      <name val="Avenir Next LT Pro"/>
      <family val="2"/>
      <scheme val="minor"/>
    </font>
    <font>
      <sz val="9"/>
      <name val="Avenir Next LT Pro"/>
      <family val="2"/>
      <scheme val="minor"/>
    </font>
    <font>
      <sz val="11"/>
      <color theme="0"/>
      <name val="Avenir Next LT Pro"/>
      <family val="2"/>
      <scheme val="minor"/>
    </font>
    <font>
      <b/>
      <sz val="12"/>
      <color theme="0"/>
      <name val="Avenir Next LT Pro"/>
      <family val="2"/>
      <scheme val="minor"/>
    </font>
    <font>
      <b/>
      <sz val="18"/>
      <color theme="3"/>
      <name val="Avenir Next LT Pro"/>
      <family val="2"/>
      <scheme val="minor"/>
    </font>
    <font>
      <i/>
      <sz val="9"/>
      <color theme="3"/>
      <name val="Avenir Next LT Pro"/>
      <family val="2"/>
      <scheme val="minor"/>
    </font>
    <font>
      <i/>
      <sz val="9"/>
      <color theme="1"/>
      <name val="Avenir Next LT Pro"/>
      <family val="2"/>
      <scheme val="minor"/>
    </font>
    <font>
      <b/>
      <sz val="11"/>
      <color rgb="FFF5F9F9"/>
      <name val="Avenir Next LT Pro"/>
      <family val="2"/>
      <scheme val="minor"/>
    </font>
    <font>
      <b/>
      <sz val="12"/>
      <color theme="9"/>
      <name val="Avenir Next LT Pro"/>
      <family val="2"/>
      <scheme val="minor"/>
    </font>
    <font>
      <sz val="11"/>
      <color theme="2" tint="-0.499984740745262"/>
      <name val="Avenir Next LT Pro"/>
      <family val="2"/>
      <scheme val="minor"/>
    </font>
    <font>
      <sz val="11"/>
      <color rgb="FF000000"/>
      <name val="Avenir Next LT Pro"/>
      <family val="2"/>
      <scheme val="minor"/>
    </font>
    <font>
      <vertAlign val="superscript"/>
      <sz val="10"/>
      <name val="Arial"/>
      <family val="2"/>
    </font>
    <font>
      <b/>
      <u/>
      <sz val="16"/>
      <color theme="3"/>
      <name val="Avenir Next LT Pro"/>
      <family val="2"/>
      <scheme val="minor"/>
    </font>
    <font>
      <b/>
      <sz val="12"/>
      <color theme="8"/>
      <name val="Avenir Next LT Pro"/>
      <family val="2"/>
      <scheme val="minor"/>
    </font>
    <font>
      <vertAlign val="superscript"/>
      <sz val="12"/>
      <color theme="1"/>
      <name val="Avenir Next LT Pro"/>
      <family val="2"/>
      <scheme val="minor"/>
    </font>
    <font>
      <b/>
      <sz val="14"/>
      <color theme="4"/>
      <name val="Avenir Next LT Pro"/>
      <family val="2"/>
      <scheme val="minor"/>
    </font>
    <font>
      <sz val="14"/>
      <color theme="3"/>
      <name val="Avenir Next LT Pro"/>
      <family val="2"/>
      <scheme val="minor"/>
    </font>
    <font>
      <sz val="12"/>
      <color theme="0"/>
      <name val="Avenir Next LT Pro"/>
      <family val="2"/>
      <scheme val="minor"/>
    </font>
    <font>
      <b/>
      <sz val="11"/>
      <color theme="8"/>
      <name val="Avenir Next LT Pro"/>
      <family val="2"/>
      <scheme val="minor"/>
    </font>
    <font>
      <i/>
      <sz val="12"/>
      <color theme="1"/>
      <name val="Avenir Next LT Pro"/>
      <family val="2"/>
      <scheme val="minor"/>
    </font>
  </fonts>
  <fills count="1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E4EFEC"/>
        <bgColor indexed="64"/>
      </patternFill>
    </fill>
    <fill>
      <patternFill patternType="solid">
        <fgColor rgb="FFFFFFE5"/>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rgb="FFF5F9F9"/>
        <bgColor indexed="64"/>
      </patternFill>
    </fill>
    <fill>
      <patternFill patternType="solid">
        <fgColor theme="2" tint="0.79998168889431442"/>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4"/>
        <bgColor indexed="64"/>
      </patternFill>
    </fill>
    <fill>
      <patternFill patternType="solid">
        <fgColor rgb="FFFFFF00"/>
        <bgColor indexed="64"/>
      </patternFill>
    </fill>
    <fill>
      <patternFill patternType="solid">
        <fgColor rgb="FFFFC000"/>
        <bgColor indexed="64"/>
      </patternFill>
    </fill>
  </fills>
  <borders count="29">
    <border>
      <left/>
      <right/>
      <top/>
      <bottom/>
      <diagonal/>
    </border>
    <border>
      <left/>
      <right/>
      <top/>
      <bottom style="medium">
        <color theme="3"/>
      </bottom>
      <diagonal/>
    </border>
    <border>
      <left style="medium">
        <color theme="3"/>
      </left>
      <right style="medium">
        <color theme="3"/>
      </right>
      <top style="medium">
        <color theme="3"/>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bottom/>
      <diagonal/>
    </border>
    <border>
      <left style="medium">
        <color theme="3"/>
      </left>
      <right style="medium">
        <color theme="3"/>
      </right>
      <top style="medium">
        <color theme="3"/>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theme="3"/>
      </left>
      <right/>
      <top/>
      <bottom/>
      <diagonal/>
    </border>
    <border>
      <left style="medium">
        <color theme="3"/>
      </left>
      <right style="medium">
        <color theme="3"/>
      </right>
      <top/>
      <bottom style="medium">
        <color theme="3"/>
      </bottom>
      <diagonal/>
    </border>
    <border>
      <left style="medium">
        <color theme="3"/>
      </left>
      <right/>
      <top style="medium">
        <color theme="3"/>
      </top>
      <bottom/>
      <diagonal/>
    </border>
    <border>
      <left/>
      <right style="medium">
        <color theme="3"/>
      </right>
      <top/>
      <bottom style="medium">
        <color theme="3"/>
      </bottom>
      <diagonal/>
    </border>
    <border>
      <left style="thin">
        <color theme="3"/>
      </left>
      <right style="thin">
        <color theme="3"/>
      </right>
      <top style="thin">
        <color theme="3"/>
      </top>
      <bottom style="thin">
        <color theme="3"/>
      </bottom>
      <diagonal/>
    </border>
    <border>
      <left/>
      <right/>
      <top style="medium">
        <color theme="3"/>
      </top>
      <bottom/>
      <diagonal/>
    </border>
    <border>
      <left/>
      <right style="medium">
        <color theme="3"/>
      </right>
      <top style="medium">
        <color theme="3"/>
      </top>
      <bottom/>
      <diagonal/>
    </border>
    <border>
      <left style="medium">
        <color theme="3"/>
      </left>
      <right/>
      <top/>
      <bottom style="medium">
        <color theme="3"/>
      </bottom>
      <diagonal/>
    </border>
    <border>
      <left/>
      <right style="medium">
        <color theme="3"/>
      </right>
      <top/>
      <bottom/>
      <diagonal/>
    </border>
    <border>
      <left/>
      <right style="thin">
        <color theme="3"/>
      </right>
      <top style="thin">
        <color theme="3"/>
      </top>
      <bottom style="thin">
        <color theme="3"/>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3">
    <xf numFmtId="0" fontId="0" fillId="0" borderId="0"/>
    <xf numFmtId="9" fontId="26" fillId="0" borderId="0" applyFont="0" applyFill="0" applyBorder="0" applyAlignment="0" applyProtection="0"/>
    <xf numFmtId="0" fontId="29" fillId="0" borderId="0"/>
  </cellStyleXfs>
  <cellXfs count="320">
    <xf numFmtId="0" fontId="0" fillId="0" borderId="0" xfId="0"/>
    <xf numFmtId="0" fontId="3" fillId="0" borderId="0" xfId="0" applyFont="1" applyAlignment="1">
      <alignment vertical="center"/>
    </xf>
    <xf numFmtId="0" fontId="3" fillId="0" borderId="0" xfId="0" applyFont="1"/>
    <xf numFmtId="0" fontId="5" fillId="0" borderId="0" xfId="0" applyFont="1"/>
    <xf numFmtId="0" fontId="4" fillId="4" borderId="2" xfId="0" applyFont="1" applyFill="1" applyBorder="1" applyAlignment="1" applyProtection="1">
      <alignment horizontal="left" vertical="center" indent="1"/>
      <protection hidden="1"/>
    </xf>
    <xf numFmtId="0" fontId="4" fillId="4" borderId="2" xfId="0" applyFont="1" applyFill="1" applyBorder="1" applyAlignment="1" applyProtection="1">
      <alignment horizontal="left" vertical="center" wrapText="1" indent="1"/>
      <protection hidden="1"/>
    </xf>
    <xf numFmtId="0" fontId="2" fillId="3" borderId="1" xfId="0" applyFont="1" applyFill="1" applyBorder="1" applyAlignment="1" applyProtection="1">
      <alignment vertical="center"/>
      <protection hidden="1"/>
    </xf>
    <xf numFmtId="0" fontId="2" fillId="3" borderId="1" xfId="0" applyFont="1" applyFill="1" applyBorder="1" applyAlignment="1" applyProtection="1">
      <alignment horizontal="center" vertical="center"/>
      <protection hidden="1"/>
    </xf>
    <xf numFmtId="0" fontId="3" fillId="3" borderId="0" xfId="0" applyFont="1" applyFill="1" applyAlignment="1" applyProtection="1">
      <alignment horizontal="left" vertical="center" wrapText="1"/>
      <protection hidden="1"/>
    </xf>
    <xf numFmtId="0" fontId="9" fillId="0" borderId="0" xfId="0" applyFont="1"/>
    <xf numFmtId="0" fontId="4" fillId="0" borderId="0" xfId="0" applyFont="1" applyAlignment="1" applyProtection="1">
      <alignment vertical="center"/>
      <protection hidden="1"/>
    </xf>
    <xf numFmtId="0" fontId="0" fillId="5" borderId="2" xfId="0" applyFill="1" applyBorder="1" applyAlignment="1" applyProtection="1">
      <alignment horizontal="center" vertical="center" wrapText="1"/>
      <protection locked="0"/>
    </xf>
    <xf numFmtId="0" fontId="0" fillId="3" borderId="0" xfId="0" applyFill="1" applyProtection="1">
      <protection hidden="1"/>
    </xf>
    <xf numFmtId="0" fontId="0" fillId="3" borderId="0" xfId="0" applyFill="1" applyAlignment="1" applyProtection="1">
      <alignment vertical="center"/>
      <protection hidden="1"/>
    </xf>
    <xf numFmtId="0" fontId="4" fillId="6" borderId="2" xfId="0" applyFont="1" applyFill="1" applyBorder="1" applyAlignment="1" applyProtection="1">
      <alignment horizontal="left" vertical="center" wrapText="1" indent="1"/>
      <protection hidden="1"/>
    </xf>
    <xf numFmtId="0" fontId="4" fillId="6" borderId="2" xfId="0" applyFont="1" applyFill="1" applyBorder="1" applyAlignment="1" applyProtection="1">
      <alignment horizontal="center" vertical="center" wrapText="1"/>
      <protection hidden="1"/>
    </xf>
    <xf numFmtId="0" fontId="17" fillId="0" borderId="0" xfId="0" applyFont="1" applyAlignment="1" applyProtection="1">
      <alignment horizontal="left" vertical="center" wrapText="1"/>
      <protection hidden="1"/>
    </xf>
    <xf numFmtId="0" fontId="18" fillId="3" borderId="0" xfId="0" applyFont="1" applyFill="1" applyAlignment="1" applyProtection="1">
      <alignment horizontal="left" vertical="center"/>
      <protection hidden="1"/>
    </xf>
    <xf numFmtId="0" fontId="0" fillId="0" borderId="0" xfId="0" applyProtection="1">
      <protection hidden="1"/>
    </xf>
    <xf numFmtId="0" fontId="22" fillId="5" borderId="2" xfId="0" applyFont="1" applyFill="1" applyBorder="1" applyAlignment="1" applyProtection="1">
      <alignment horizontal="center" vertical="center" wrapText="1"/>
      <protection locked="0"/>
    </xf>
    <xf numFmtId="0" fontId="25" fillId="0" borderId="0" xfId="0" applyFont="1" applyAlignment="1">
      <alignment vertical="center"/>
    </xf>
    <xf numFmtId="0" fontId="19" fillId="3" borderId="0" xfId="0" applyFont="1" applyFill="1" applyAlignment="1" applyProtection="1">
      <alignment horizontal="right" vertical="center" wrapText="1" indent="1"/>
      <protection hidden="1"/>
    </xf>
    <xf numFmtId="0" fontId="2" fillId="3" borderId="0" xfId="0" applyFont="1" applyFill="1" applyAlignment="1" applyProtection="1">
      <alignment vertical="center" wrapText="1"/>
      <protection hidden="1"/>
    </xf>
    <xf numFmtId="1" fontId="6" fillId="3" borderId="2" xfId="0" applyNumberFormat="1" applyFont="1" applyFill="1" applyBorder="1" applyAlignment="1" applyProtection="1">
      <alignment horizontal="center" vertical="center" wrapText="1"/>
      <protection hidden="1"/>
    </xf>
    <xf numFmtId="164" fontId="0" fillId="0" borderId="0" xfId="0" applyNumberFormat="1"/>
    <xf numFmtId="1" fontId="0" fillId="0" borderId="0" xfId="0" applyNumberFormat="1"/>
    <xf numFmtId="0" fontId="6" fillId="6" borderId="2" xfId="0" applyFont="1" applyFill="1" applyBorder="1" applyAlignment="1" applyProtection="1">
      <alignment horizontal="center" vertical="center" wrapText="1"/>
      <protection hidden="1"/>
    </xf>
    <xf numFmtId="3" fontId="0" fillId="0" borderId="0" xfId="0" applyNumberFormat="1"/>
    <xf numFmtId="0" fontId="2" fillId="3" borderId="0" xfId="0" applyFont="1" applyFill="1" applyAlignment="1" applyProtection="1">
      <alignment horizontal="left" vertical="center"/>
      <protection hidden="1"/>
    </xf>
    <xf numFmtId="0" fontId="25" fillId="0" borderId="0" xfId="0" applyFont="1" applyAlignment="1" applyProtection="1">
      <alignment vertical="center"/>
      <protection hidden="1"/>
    </xf>
    <xf numFmtId="0" fontId="0" fillId="0" borderId="0" xfId="0" applyAlignment="1" applyProtection="1">
      <alignment horizontal="center"/>
      <protection hidden="1"/>
    </xf>
    <xf numFmtId="0" fontId="0" fillId="0" borderId="0" xfId="0" applyAlignment="1" applyProtection="1">
      <alignment horizontal="center" vertical="center" wrapText="1"/>
      <protection hidden="1"/>
    </xf>
    <xf numFmtId="14" fontId="6" fillId="5" borderId="2" xfId="0" applyNumberFormat="1" applyFont="1" applyFill="1" applyBorder="1" applyAlignment="1" applyProtection="1">
      <alignment horizontal="center" vertical="center" wrapText="1"/>
      <protection locked="0"/>
    </xf>
    <xf numFmtId="0" fontId="6" fillId="5" borderId="2" xfId="0" applyFont="1" applyFill="1" applyBorder="1" applyAlignment="1" applyProtection="1">
      <alignment horizontal="center" vertical="center" wrapText="1"/>
      <protection locked="0"/>
    </xf>
    <xf numFmtId="3" fontId="4" fillId="5" borderId="2" xfId="0" applyNumberFormat="1" applyFont="1" applyFill="1" applyBorder="1" applyAlignment="1" applyProtection="1">
      <alignment horizontal="center" vertical="center" wrapText="1"/>
      <protection locked="0"/>
    </xf>
    <xf numFmtId="9" fontId="4" fillId="5" borderId="2" xfId="1" applyFont="1" applyFill="1" applyBorder="1" applyAlignment="1" applyProtection="1">
      <alignment horizontal="center" vertical="center" wrapText="1"/>
      <protection locked="0"/>
    </xf>
    <xf numFmtId="0" fontId="23" fillId="0" borderId="0" xfId="0" applyFont="1" applyAlignment="1" applyProtection="1">
      <alignment vertical="center"/>
      <protection hidden="1"/>
    </xf>
    <xf numFmtId="0" fontId="3" fillId="0" borderId="0" xfId="0" applyFont="1" applyAlignment="1" applyProtection="1">
      <alignment vertical="center"/>
      <protection hidden="1"/>
    </xf>
    <xf numFmtId="0" fontId="3" fillId="0" borderId="0" xfId="0" applyFont="1" applyProtection="1">
      <protection hidden="1"/>
    </xf>
    <xf numFmtId="0" fontId="5" fillId="0" borderId="0" xfId="0" applyFont="1" applyProtection="1">
      <protection hidden="1"/>
    </xf>
    <xf numFmtId="0" fontId="10" fillId="0" borderId="0" xfId="0" applyFont="1" applyProtection="1">
      <protection hidden="1"/>
    </xf>
    <xf numFmtId="0" fontId="8" fillId="0" borderId="0" xfId="0" applyFont="1" applyAlignment="1" applyProtection="1">
      <alignment horizontal="center" vertical="center" wrapText="1"/>
      <protection hidden="1"/>
    </xf>
    <xf numFmtId="0" fontId="0" fillId="8" borderId="0" xfId="0" applyFill="1" applyAlignment="1" applyProtection="1">
      <alignment horizontal="center"/>
      <protection hidden="1"/>
    </xf>
    <xf numFmtId="0" fontId="0" fillId="8" borderId="0" xfId="0" applyFill="1" applyProtection="1">
      <protection hidden="1"/>
    </xf>
    <xf numFmtId="0" fontId="3" fillId="8" borderId="0" xfId="0" applyFont="1" applyFill="1" applyAlignment="1" applyProtection="1">
      <alignment vertical="top" wrapText="1"/>
      <protection hidden="1"/>
    </xf>
    <xf numFmtId="0" fontId="3" fillId="8" borderId="1" xfId="0" applyFont="1" applyFill="1" applyBorder="1" applyAlignment="1" applyProtection="1">
      <alignment horizontal="left" vertical="top" wrapText="1"/>
      <protection hidden="1"/>
    </xf>
    <xf numFmtId="0" fontId="0" fillId="8" borderId="0" xfId="0" applyFill="1" applyAlignment="1" applyProtection="1">
      <alignment horizontal="left" vertical="center"/>
      <protection hidden="1"/>
    </xf>
    <xf numFmtId="0" fontId="28" fillId="8" borderId="0" xfId="0" applyFont="1" applyFill="1" applyAlignment="1" applyProtection="1">
      <alignment vertical="center"/>
      <protection hidden="1"/>
    </xf>
    <xf numFmtId="1" fontId="0" fillId="8" borderId="0" xfId="0" applyNumberFormat="1" applyFill="1" applyProtection="1">
      <protection hidden="1"/>
    </xf>
    <xf numFmtId="0" fontId="4" fillId="8" borderId="2" xfId="0" applyFont="1" applyFill="1" applyBorder="1" applyAlignment="1" applyProtection="1">
      <alignment horizontal="center" vertical="center" wrapText="1"/>
      <protection locked="0"/>
    </xf>
    <xf numFmtId="164" fontId="32" fillId="5" borderId="2" xfId="0" applyNumberFormat="1" applyFont="1" applyFill="1" applyBorder="1" applyAlignment="1" applyProtection="1">
      <alignment horizontal="center" vertical="center" wrapText="1"/>
      <protection locked="0"/>
    </xf>
    <xf numFmtId="0" fontId="3" fillId="8" borderId="0" xfId="0" applyFont="1" applyFill="1" applyAlignment="1" applyProtection="1">
      <alignment horizontal="left" vertical="top" wrapText="1"/>
      <protection hidden="1"/>
    </xf>
    <xf numFmtId="0" fontId="4" fillId="6" borderId="3" xfId="0" applyFont="1" applyFill="1" applyBorder="1" applyAlignment="1" applyProtection="1">
      <alignment horizontal="center" vertical="center" wrapText="1"/>
      <protection hidden="1"/>
    </xf>
    <xf numFmtId="0" fontId="4" fillId="6" borderId="4" xfId="0" applyFont="1" applyFill="1" applyBorder="1" applyAlignment="1" applyProtection="1">
      <alignment horizontal="center" vertical="center" wrapText="1"/>
      <protection hidden="1"/>
    </xf>
    <xf numFmtId="0" fontId="4" fillId="6" borderId="5" xfId="0" applyFont="1" applyFill="1" applyBorder="1" applyAlignment="1" applyProtection="1">
      <alignment horizontal="center" vertical="center" wrapText="1"/>
      <protection hidden="1"/>
    </xf>
    <xf numFmtId="0" fontId="4" fillId="9" borderId="2" xfId="0" applyFont="1" applyFill="1" applyBorder="1" applyAlignment="1" applyProtection="1">
      <alignment horizontal="center" vertical="center" wrapText="1"/>
      <protection hidden="1"/>
    </xf>
    <xf numFmtId="0" fontId="4" fillId="9" borderId="2" xfId="0" applyFont="1" applyFill="1" applyBorder="1" applyAlignment="1" applyProtection="1">
      <alignment horizontal="left" vertical="center" wrapText="1" indent="1"/>
      <protection hidden="1"/>
    </xf>
    <xf numFmtId="0" fontId="34" fillId="3" borderId="12" xfId="0" applyFont="1" applyFill="1" applyBorder="1" applyAlignment="1" applyProtection="1">
      <alignment horizontal="center" vertical="center" wrapText="1"/>
      <protection hidden="1"/>
    </xf>
    <xf numFmtId="0" fontId="34" fillId="5" borderId="2" xfId="0" applyFont="1" applyFill="1" applyBorder="1" applyAlignment="1" applyProtection="1">
      <alignment horizontal="center" vertical="center" wrapText="1"/>
      <protection locked="0"/>
    </xf>
    <xf numFmtId="14" fontId="34" fillId="5" borderId="2" xfId="0" applyNumberFormat="1" applyFont="1" applyFill="1" applyBorder="1" applyAlignment="1" applyProtection="1">
      <alignment horizontal="center" vertical="center" wrapText="1"/>
      <protection locked="0"/>
    </xf>
    <xf numFmtId="0" fontId="34" fillId="5" borderId="3"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hidden="1"/>
    </xf>
    <xf numFmtId="0" fontId="34" fillId="5" borderId="7" xfId="0" applyFont="1" applyFill="1" applyBorder="1" applyAlignment="1" applyProtection="1">
      <alignment horizontal="center" vertical="center" wrapText="1"/>
      <protection locked="0"/>
    </xf>
    <xf numFmtId="14" fontId="34" fillId="5" borderId="7" xfId="0" applyNumberFormat="1" applyFont="1" applyFill="1" applyBorder="1" applyAlignment="1" applyProtection="1">
      <alignment horizontal="center" vertical="center" wrapText="1"/>
      <protection locked="0"/>
    </xf>
    <xf numFmtId="0" fontId="34" fillId="5" borderId="13" xfId="0" applyFont="1" applyFill="1" applyBorder="1" applyAlignment="1" applyProtection="1">
      <alignment horizontal="center" vertical="center" wrapText="1"/>
      <protection locked="0"/>
    </xf>
    <xf numFmtId="0" fontId="6" fillId="5" borderId="3" xfId="0" applyFont="1" applyFill="1" applyBorder="1" applyAlignment="1" applyProtection="1">
      <alignment horizontal="center" vertical="center" wrapText="1"/>
      <protection locked="0"/>
    </xf>
    <xf numFmtId="14" fontId="0" fillId="8" borderId="0" xfId="0" applyNumberFormat="1" applyFill="1" applyAlignment="1" applyProtection="1">
      <alignment horizontal="left" vertical="center"/>
      <protection hidden="1"/>
    </xf>
    <xf numFmtId="1" fontId="0" fillId="8" borderId="0" xfId="0" applyNumberFormat="1" applyFill="1" applyAlignment="1" applyProtection="1">
      <alignment horizontal="left" vertical="center"/>
      <protection hidden="1"/>
    </xf>
    <xf numFmtId="0" fontId="4" fillId="5" borderId="4" xfId="0" applyFont="1" applyFill="1" applyBorder="1" applyAlignment="1" applyProtection="1">
      <alignment horizontal="center" vertical="center" wrapText="1"/>
      <protection locked="0"/>
    </xf>
    <xf numFmtId="0" fontId="4" fillId="5" borderId="3" xfId="0" applyFont="1" applyFill="1" applyBorder="1" applyAlignment="1" applyProtection="1">
      <alignment horizontal="center" vertical="center" wrapText="1"/>
      <protection locked="0"/>
    </xf>
    <xf numFmtId="0" fontId="4" fillId="5" borderId="5" xfId="0" applyFont="1" applyFill="1" applyBorder="1" applyAlignment="1" applyProtection="1">
      <alignment horizontal="center" vertical="center" wrapText="1"/>
      <protection locked="0"/>
    </xf>
    <xf numFmtId="0" fontId="3" fillId="3" borderId="0" xfId="0" applyFont="1" applyFill="1" applyAlignment="1" applyProtection="1">
      <alignment horizontal="left" vertical="top" wrapText="1"/>
      <protection hidden="1"/>
    </xf>
    <xf numFmtId="0" fontId="37" fillId="3" borderId="1" xfId="0" applyFont="1" applyFill="1" applyBorder="1" applyAlignment="1" applyProtection="1">
      <alignment horizontal="left" vertical="center"/>
      <protection hidden="1"/>
    </xf>
    <xf numFmtId="0" fontId="0" fillId="3" borderId="14" xfId="0" applyFill="1" applyBorder="1" applyProtection="1">
      <protection hidden="1"/>
    </xf>
    <xf numFmtId="0" fontId="31" fillId="3" borderId="1" xfId="0" applyFont="1" applyFill="1" applyBorder="1" applyAlignment="1" applyProtection="1">
      <alignment horizontal="left" vertical="center"/>
      <protection hidden="1"/>
    </xf>
    <xf numFmtId="14" fontId="35" fillId="0" borderId="0" xfId="0" applyNumberFormat="1" applyFont="1" applyProtection="1">
      <protection hidden="1"/>
    </xf>
    <xf numFmtId="14" fontId="36" fillId="0" borderId="6" xfId="0" applyNumberFormat="1" applyFont="1" applyBorder="1" applyAlignment="1" applyProtection="1">
      <alignment horizontal="center" vertical="center" wrapText="1"/>
      <protection hidden="1"/>
    </xf>
    <xf numFmtId="14" fontId="35" fillId="0" borderId="6" xfId="0" applyNumberFormat="1" applyFont="1" applyBorder="1" applyAlignment="1" applyProtection="1">
      <alignment horizontal="center" vertical="center" wrapText="1"/>
      <protection hidden="1"/>
    </xf>
    <xf numFmtId="0" fontId="40" fillId="10" borderId="2" xfId="0" applyFont="1" applyFill="1" applyBorder="1" applyAlignment="1" applyProtection="1">
      <alignment horizontal="left" vertical="center" wrapText="1" indent="1"/>
      <protection hidden="1"/>
    </xf>
    <xf numFmtId="0" fontId="40" fillId="11" borderId="2" xfId="0" applyFont="1" applyFill="1" applyBorder="1" applyAlignment="1" applyProtection="1">
      <alignment horizontal="left" vertical="center" wrapText="1" indent="1"/>
      <protection hidden="1"/>
    </xf>
    <xf numFmtId="0" fontId="40" fillId="12" borderId="2" xfId="0" applyFont="1" applyFill="1" applyBorder="1" applyAlignment="1" applyProtection="1">
      <alignment horizontal="left" vertical="center" wrapText="1" indent="1"/>
      <protection hidden="1"/>
    </xf>
    <xf numFmtId="0" fontId="40" fillId="13" borderId="2" xfId="0" applyFont="1" applyFill="1" applyBorder="1" applyAlignment="1" applyProtection="1">
      <alignment horizontal="left" vertical="center" wrapText="1" indent="1"/>
      <protection hidden="1"/>
    </xf>
    <xf numFmtId="0" fontId="24" fillId="0" borderId="0" xfId="0" applyFont="1" applyAlignment="1" applyProtection="1">
      <alignment horizontal="left" vertical="center"/>
      <protection hidden="1"/>
    </xf>
    <xf numFmtId="0" fontId="0" fillId="6" borderId="0" xfId="0" applyFill="1"/>
    <xf numFmtId="0" fontId="4" fillId="6" borderId="12" xfId="0" applyFont="1" applyFill="1" applyBorder="1" applyAlignment="1" applyProtection="1">
      <alignment horizontal="center" vertical="center" wrapText="1"/>
      <protection hidden="1"/>
    </xf>
    <xf numFmtId="0" fontId="24" fillId="0" borderId="0" xfId="0" applyFont="1" applyAlignment="1" applyProtection="1">
      <alignment vertical="center"/>
      <protection hidden="1"/>
    </xf>
    <xf numFmtId="14" fontId="32" fillId="5" borderId="5" xfId="0" applyNumberFormat="1" applyFont="1" applyFill="1" applyBorder="1" applyAlignment="1" applyProtection="1">
      <alignment horizontal="center" vertical="center" wrapText="1"/>
      <protection locked="0"/>
    </xf>
    <xf numFmtId="0" fontId="32" fillId="5" borderId="5" xfId="0" applyFont="1" applyFill="1" applyBorder="1" applyAlignment="1" applyProtection="1">
      <alignment horizontal="center" vertical="center" wrapText="1"/>
      <protection locked="0"/>
    </xf>
    <xf numFmtId="164" fontId="32" fillId="5" borderId="3" xfId="0" applyNumberFormat="1" applyFont="1" applyFill="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hidden="1"/>
    </xf>
    <xf numFmtId="0" fontId="4" fillId="6" borderId="18" xfId="0" applyFont="1" applyFill="1" applyBorder="1" applyAlignment="1" applyProtection="1">
      <alignment horizontal="center" vertical="center" wrapText="1"/>
      <protection hidden="1"/>
    </xf>
    <xf numFmtId="0" fontId="32" fillId="5" borderId="17" xfId="0" applyFont="1" applyFill="1" applyBorder="1" applyAlignment="1" applyProtection="1">
      <alignment horizontal="center" vertical="center" wrapText="1"/>
      <protection locked="0"/>
    </xf>
    <xf numFmtId="164" fontId="32" fillId="5" borderId="7" xfId="0" applyNumberFormat="1" applyFont="1" applyFill="1" applyBorder="1" applyAlignment="1" applyProtection="1">
      <alignment horizontal="center" vertical="center" wrapText="1"/>
      <protection locked="0"/>
    </xf>
    <xf numFmtId="164" fontId="32" fillId="5" borderId="13" xfId="0" applyNumberFormat="1"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hidden="1"/>
    </xf>
    <xf numFmtId="0" fontId="4" fillId="3" borderId="16" xfId="0" applyFont="1" applyFill="1" applyBorder="1" applyAlignment="1" applyProtection="1">
      <alignment horizontal="left" vertical="center" wrapText="1"/>
      <protection hidden="1"/>
    </xf>
    <xf numFmtId="1" fontId="2" fillId="3" borderId="16" xfId="0" applyNumberFormat="1" applyFont="1" applyFill="1" applyBorder="1" applyAlignment="1" applyProtection="1">
      <alignment horizontal="center" vertical="center"/>
      <protection hidden="1"/>
    </xf>
    <xf numFmtId="3" fontId="2" fillId="3" borderId="4" xfId="0" applyNumberFormat="1" applyFont="1" applyFill="1" applyBorder="1" applyAlignment="1" applyProtection="1">
      <alignment horizontal="center" vertical="center"/>
      <protection hidden="1"/>
    </xf>
    <xf numFmtId="1" fontId="6" fillId="3" borderId="3" xfId="0" applyNumberFormat="1" applyFont="1" applyFill="1" applyBorder="1" applyAlignment="1" applyProtection="1">
      <alignment horizontal="center" vertical="center" wrapText="1"/>
      <protection hidden="1"/>
    </xf>
    <xf numFmtId="14" fontId="0" fillId="0" borderId="0" xfId="0" applyNumberFormat="1" applyProtection="1">
      <protection hidden="1"/>
    </xf>
    <xf numFmtId="14" fontId="25" fillId="0" borderId="0" xfId="0" applyNumberFormat="1" applyFont="1" applyAlignment="1" applyProtection="1">
      <alignment vertical="center"/>
      <protection hidden="1"/>
    </xf>
    <xf numFmtId="14" fontId="0" fillId="0" borderId="0" xfId="0" applyNumberFormat="1" applyAlignment="1" applyProtection="1">
      <alignment horizontal="center" vertical="center" wrapText="1"/>
      <protection hidden="1"/>
    </xf>
    <xf numFmtId="0" fontId="3" fillId="0" borderId="0" xfId="0" applyFont="1" applyAlignment="1" applyProtection="1">
      <alignment vertical="top"/>
      <protection hidden="1"/>
    </xf>
    <xf numFmtId="0" fontId="4" fillId="3" borderId="4"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hidden="1"/>
    </xf>
    <xf numFmtId="164" fontId="6" fillId="3" borderId="2" xfId="0" applyNumberFormat="1" applyFont="1" applyFill="1" applyBorder="1" applyAlignment="1" applyProtection="1">
      <alignment horizontal="center" vertical="center" wrapText="1"/>
      <protection hidden="1"/>
    </xf>
    <xf numFmtId="0" fontId="42" fillId="5" borderId="2" xfId="0" applyFont="1" applyFill="1" applyBorder="1" applyAlignment="1" applyProtection="1">
      <alignment horizontal="center" vertical="center" wrapText="1"/>
      <protection locked="0"/>
    </xf>
    <xf numFmtId="3" fontId="42" fillId="5" borderId="2" xfId="0" applyNumberFormat="1" applyFont="1" applyFill="1" applyBorder="1" applyAlignment="1" applyProtection="1">
      <alignment horizontal="center" vertical="center" wrapText="1"/>
      <protection locked="0"/>
    </xf>
    <xf numFmtId="0" fontId="40" fillId="2" borderId="2" xfId="0" applyFont="1" applyFill="1" applyBorder="1" applyAlignment="1" applyProtection="1">
      <alignment horizontal="left" vertical="center" wrapText="1" indent="1"/>
      <protection hidden="1"/>
    </xf>
    <xf numFmtId="0" fontId="0" fillId="8" borderId="0" xfId="0" applyFill="1" applyAlignment="1" applyProtection="1">
      <alignment horizontal="left"/>
      <protection hidden="1"/>
    </xf>
    <xf numFmtId="0" fontId="0" fillId="8" borderId="0" xfId="0" applyFill="1" applyAlignment="1" applyProtection="1">
      <alignment horizontal="right"/>
      <protection hidden="1"/>
    </xf>
    <xf numFmtId="0" fontId="43" fillId="0" borderId="0" xfId="0" applyFont="1"/>
    <xf numFmtId="0" fontId="43" fillId="0" borderId="0" xfId="0" applyFont="1" applyAlignment="1">
      <alignment horizontal="right"/>
    </xf>
    <xf numFmtId="3" fontId="43" fillId="0" borderId="0" xfId="0" applyNumberFormat="1" applyFont="1"/>
    <xf numFmtId="2" fontId="43" fillId="0" borderId="0" xfId="0" applyNumberFormat="1" applyFont="1"/>
    <xf numFmtId="2" fontId="0" fillId="0" borderId="0" xfId="0" applyNumberFormat="1"/>
    <xf numFmtId="0" fontId="4" fillId="3" borderId="0" xfId="0" applyFont="1" applyFill="1" applyAlignment="1" applyProtection="1">
      <alignment vertical="center" wrapText="1"/>
      <protection hidden="1"/>
    </xf>
    <xf numFmtId="0" fontId="0" fillId="0" borderId="0" xfId="0" applyAlignment="1">
      <alignment horizontal="right"/>
    </xf>
    <xf numFmtId="0" fontId="4" fillId="6" borderId="3" xfId="0" applyFont="1" applyFill="1" applyBorder="1" applyAlignment="1" applyProtection="1">
      <alignment horizontal="left" vertical="center" wrapText="1" indent="1"/>
      <protection hidden="1"/>
    </xf>
    <xf numFmtId="2" fontId="0" fillId="8" borderId="0" xfId="0" applyNumberFormat="1" applyFill="1" applyProtection="1">
      <protection hidden="1"/>
    </xf>
    <xf numFmtId="0" fontId="0" fillId="13" borderId="0" xfId="0" applyFill="1"/>
    <xf numFmtId="0" fontId="45" fillId="8" borderId="0" xfId="0" applyFont="1" applyFill="1" applyAlignment="1" applyProtection="1">
      <alignment vertical="center" wrapText="1"/>
      <protection hidden="1"/>
    </xf>
    <xf numFmtId="0" fontId="31" fillId="8" borderId="0" xfId="0" applyFont="1" applyFill="1" applyAlignment="1" applyProtection="1">
      <alignment vertical="center" wrapText="1"/>
      <protection hidden="1"/>
    </xf>
    <xf numFmtId="0" fontId="31" fillId="8" borderId="0" xfId="0" applyFont="1" applyFill="1" applyAlignment="1" applyProtection="1">
      <alignment horizontal="left" vertical="center" wrapText="1"/>
      <protection hidden="1"/>
    </xf>
    <xf numFmtId="0" fontId="4" fillId="8" borderId="0" xfId="0" applyFont="1" applyFill="1" applyAlignment="1" applyProtection="1">
      <alignment horizontal="left" vertical="center"/>
      <protection hidden="1"/>
    </xf>
    <xf numFmtId="4" fontId="4" fillId="5" borderId="2" xfId="0" applyNumberFormat="1" applyFont="1" applyFill="1" applyBorder="1" applyAlignment="1" applyProtection="1">
      <alignment horizontal="center" vertical="center" wrapText="1"/>
      <protection locked="0"/>
    </xf>
    <xf numFmtId="0" fontId="31" fillId="3" borderId="0" xfId="0" applyFont="1" applyFill="1" applyAlignment="1" applyProtection="1">
      <alignment vertical="center" wrapText="1"/>
      <protection hidden="1"/>
    </xf>
    <xf numFmtId="0" fontId="4" fillId="3" borderId="15" xfId="0" applyFont="1" applyFill="1" applyBorder="1" applyAlignment="1" applyProtection="1">
      <alignment horizontal="left" vertical="top" wrapText="1"/>
      <protection hidden="1"/>
    </xf>
    <xf numFmtId="0" fontId="4" fillId="3" borderId="15" xfId="0" applyFont="1" applyFill="1" applyBorder="1" applyAlignment="1" applyProtection="1">
      <alignment horizontal="center" vertical="center" wrapText="1"/>
      <protection hidden="1"/>
    </xf>
    <xf numFmtId="0" fontId="4" fillId="3" borderId="20" xfId="0" applyFont="1" applyFill="1" applyBorder="1" applyAlignment="1" applyProtection="1">
      <alignment horizontal="center" vertical="center" wrapText="1"/>
      <protection hidden="1"/>
    </xf>
    <xf numFmtId="0" fontId="4" fillId="3" borderId="15" xfId="0" applyFont="1" applyFill="1" applyBorder="1" applyAlignment="1" applyProtection="1">
      <alignment horizontal="right" vertical="center" wrapText="1" indent="1"/>
      <protection hidden="1"/>
    </xf>
    <xf numFmtId="0" fontId="31" fillId="3" borderId="0" xfId="0" applyFont="1" applyFill="1" applyAlignment="1" applyProtection="1">
      <alignment horizontal="left" vertical="center" wrapText="1"/>
      <protection hidden="1"/>
    </xf>
    <xf numFmtId="0" fontId="4" fillId="3" borderId="0" xfId="0" applyFont="1" applyFill="1" applyAlignment="1" applyProtection="1">
      <alignment horizontal="right" vertical="center" wrapText="1" indent="1"/>
      <protection hidden="1"/>
    </xf>
    <xf numFmtId="165" fontId="0" fillId="8" borderId="0" xfId="0" applyNumberFormat="1" applyFill="1" applyAlignment="1" applyProtection="1">
      <alignment horizontal="center"/>
      <protection hidden="1"/>
    </xf>
    <xf numFmtId="3" fontId="4" fillId="3" borderId="2" xfId="0" applyNumberFormat="1" applyFont="1" applyFill="1" applyBorder="1" applyAlignment="1" applyProtection="1">
      <alignment horizontal="center" vertical="center" wrapText="1"/>
      <protection hidden="1"/>
    </xf>
    <xf numFmtId="0" fontId="6" fillId="3" borderId="2" xfId="0" applyFont="1" applyFill="1" applyBorder="1" applyAlignment="1" applyProtection="1">
      <alignment horizontal="left" vertical="center" wrapText="1" indent="1"/>
      <protection hidden="1"/>
    </xf>
    <xf numFmtId="165" fontId="0" fillId="8" borderId="0" xfId="0" applyNumberFormat="1" applyFill="1" applyProtection="1">
      <protection hidden="1"/>
    </xf>
    <xf numFmtId="0" fontId="3" fillId="8" borderId="0" xfId="0" applyFont="1" applyFill="1" applyAlignment="1" applyProtection="1">
      <alignment horizontal="center" vertical="center" wrapText="1"/>
      <protection hidden="1"/>
    </xf>
    <xf numFmtId="0" fontId="3" fillId="8" borderId="0" xfId="0" applyFont="1" applyFill="1" applyAlignment="1" applyProtection="1">
      <alignment horizontal="right" vertical="center" wrapText="1" indent="1"/>
      <protection hidden="1"/>
    </xf>
    <xf numFmtId="0" fontId="3" fillId="3" borderId="21" xfId="0" applyFont="1" applyFill="1" applyBorder="1" applyAlignment="1" applyProtection="1">
      <alignment horizontal="left" vertical="top" wrapText="1"/>
      <protection hidden="1"/>
    </xf>
    <xf numFmtId="0" fontId="3" fillId="3" borderId="22" xfId="0" applyFont="1" applyFill="1" applyBorder="1" applyAlignment="1" applyProtection="1">
      <alignment horizontal="left" vertical="top" wrapText="1"/>
      <protection hidden="1"/>
    </xf>
    <xf numFmtId="0" fontId="3" fillId="3" borderId="23" xfId="0" applyFont="1" applyFill="1" applyBorder="1" applyAlignment="1" applyProtection="1">
      <alignment horizontal="left" vertical="top" wrapText="1"/>
      <protection hidden="1"/>
    </xf>
    <xf numFmtId="0" fontId="3" fillId="3" borderId="24" xfId="0" applyFont="1" applyFill="1" applyBorder="1" applyAlignment="1" applyProtection="1">
      <alignment horizontal="left" vertical="top" wrapText="1"/>
      <protection hidden="1"/>
    </xf>
    <xf numFmtId="0" fontId="3" fillId="3" borderId="25" xfId="0" applyFont="1" applyFill="1" applyBorder="1" applyAlignment="1" applyProtection="1">
      <alignment horizontal="left" vertical="top" wrapText="1"/>
      <protection hidden="1"/>
    </xf>
    <xf numFmtId="0" fontId="3" fillId="3" borderId="0" xfId="0" applyFont="1" applyFill="1" applyAlignment="1" applyProtection="1">
      <alignment vertical="center" wrapText="1"/>
      <protection locked="0"/>
    </xf>
    <xf numFmtId="0" fontId="3" fillId="0" borderId="0" xfId="0" applyFont="1" applyAlignment="1" applyProtection="1">
      <alignment vertical="center" wrapText="1"/>
      <protection locked="0"/>
    </xf>
    <xf numFmtId="14" fontId="3" fillId="3" borderId="0" xfId="0" applyNumberFormat="1" applyFont="1" applyFill="1" applyAlignment="1" applyProtection="1">
      <alignment vertical="center" wrapText="1"/>
      <protection locked="0"/>
    </xf>
    <xf numFmtId="0" fontId="4" fillId="6" borderId="0" xfId="0" applyFont="1" applyFill="1" applyAlignment="1" applyProtection="1">
      <alignment horizontal="left" vertical="center" wrapText="1" indent="1"/>
      <protection hidden="1"/>
    </xf>
    <xf numFmtId="0" fontId="0" fillId="3" borderId="24" xfId="0" applyFill="1" applyBorder="1" applyProtection="1">
      <protection hidden="1"/>
    </xf>
    <xf numFmtId="0" fontId="37" fillId="3" borderId="0" xfId="0" applyFont="1" applyFill="1" applyAlignment="1" applyProtection="1">
      <alignment horizontal="left" vertical="center"/>
      <protection hidden="1"/>
    </xf>
    <xf numFmtId="0" fontId="3" fillId="3" borderId="0" xfId="0" applyFont="1" applyFill="1" applyAlignment="1" applyProtection="1">
      <alignment horizontal="left" wrapText="1"/>
      <protection hidden="1"/>
    </xf>
    <xf numFmtId="0" fontId="37" fillId="3" borderId="25" xfId="0" applyFont="1" applyFill="1" applyBorder="1" applyAlignment="1" applyProtection="1">
      <alignment horizontal="left" vertical="center"/>
      <protection hidden="1"/>
    </xf>
    <xf numFmtId="0" fontId="6" fillId="6" borderId="0" xfId="0" applyFont="1" applyFill="1" applyAlignment="1">
      <alignment horizontal="left" vertical="center" wrapText="1" indent="1"/>
    </xf>
    <xf numFmtId="0" fontId="37" fillId="3" borderId="24" xfId="0" applyFont="1" applyFill="1" applyBorder="1" applyAlignment="1" applyProtection="1">
      <alignment horizontal="left" vertical="top"/>
      <protection hidden="1"/>
    </xf>
    <xf numFmtId="0" fontId="4" fillId="3" borderId="0" xfId="0" applyFont="1" applyFill="1" applyAlignment="1">
      <alignment horizontal="left" vertical="center" wrapText="1" indent="1"/>
    </xf>
    <xf numFmtId="0" fontId="4" fillId="3" borderId="0" xfId="0" applyFont="1" applyFill="1" applyAlignment="1" applyProtection="1">
      <alignment horizontal="center" vertical="center" wrapText="1"/>
      <protection hidden="1"/>
    </xf>
    <xf numFmtId="0" fontId="0" fillId="3" borderId="24" xfId="0" applyFill="1" applyBorder="1" applyAlignment="1" applyProtection="1">
      <alignment horizontal="left" vertical="center"/>
      <protection hidden="1"/>
    </xf>
    <xf numFmtId="0" fontId="2" fillId="3" borderId="25" xfId="0" applyFont="1" applyFill="1" applyBorder="1" applyAlignment="1" applyProtection="1">
      <alignment horizontal="center" vertical="center"/>
      <protection hidden="1"/>
    </xf>
    <xf numFmtId="0" fontId="4" fillId="3" borderId="0" xfId="0" applyFont="1" applyFill="1" applyAlignment="1" applyProtection="1">
      <alignment horizontal="center" vertical="center" wrapText="1"/>
      <protection locked="0"/>
    </xf>
    <xf numFmtId="14" fontId="0" fillId="3" borderId="0" xfId="0" applyNumberFormat="1" applyFill="1" applyAlignment="1" applyProtection="1">
      <alignment horizontal="left" vertical="center"/>
      <protection hidden="1"/>
    </xf>
    <xf numFmtId="0" fontId="0" fillId="3" borderId="0" xfId="0" applyFill="1" applyAlignment="1" applyProtection="1">
      <alignment horizontal="left" vertical="center"/>
      <protection hidden="1"/>
    </xf>
    <xf numFmtId="1" fontId="2" fillId="3" borderId="25" xfId="0" applyNumberFormat="1" applyFont="1" applyFill="1" applyBorder="1" applyAlignment="1" applyProtection="1">
      <alignment horizontal="center" vertical="center"/>
      <protection hidden="1"/>
    </xf>
    <xf numFmtId="0" fontId="0" fillId="3" borderId="24" xfId="0" applyFill="1" applyBorder="1" applyAlignment="1" applyProtection="1">
      <alignment horizontal="center"/>
      <protection hidden="1"/>
    </xf>
    <xf numFmtId="0" fontId="4" fillId="3" borderId="0" xfId="0" applyFont="1" applyFill="1" applyAlignment="1" applyProtection="1">
      <alignment horizontal="left" vertical="center" wrapText="1"/>
      <protection hidden="1"/>
    </xf>
    <xf numFmtId="1" fontId="2" fillId="3" borderId="0" xfId="0" applyNumberFormat="1" applyFont="1" applyFill="1" applyAlignment="1" applyProtection="1">
      <alignment horizontal="center" vertical="center"/>
      <protection hidden="1"/>
    </xf>
    <xf numFmtId="0" fontId="6" fillId="3" borderId="0" xfId="0" applyFont="1" applyFill="1" applyAlignment="1" applyProtection="1">
      <alignment vertical="center"/>
      <protection hidden="1"/>
    </xf>
    <xf numFmtId="0" fontId="0" fillId="3" borderId="25" xfId="0" applyFill="1" applyBorder="1" applyProtection="1">
      <protection hidden="1"/>
    </xf>
    <xf numFmtId="1" fontId="0" fillId="3" borderId="0" xfId="0" applyNumberFormat="1" applyFill="1" applyAlignment="1" applyProtection="1">
      <alignment horizontal="left" vertical="center"/>
      <protection hidden="1"/>
    </xf>
    <xf numFmtId="0" fontId="0" fillId="3" borderId="0" xfId="0" applyFill="1" applyAlignment="1" applyProtection="1">
      <alignment horizontal="center"/>
      <protection hidden="1"/>
    </xf>
    <xf numFmtId="0" fontId="0" fillId="3" borderId="0" xfId="0" applyFill="1" applyAlignment="1" applyProtection="1">
      <alignment wrapText="1"/>
      <protection hidden="1"/>
    </xf>
    <xf numFmtId="1" fontId="0" fillId="3" borderId="0" xfId="0" applyNumberFormat="1" applyFill="1" applyProtection="1">
      <protection hidden="1"/>
    </xf>
    <xf numFmtId="0" fontId="38" fillId="3" borderId="0" xfId="0" applyFont="1" applyFill="1" applyAlignment="1" applyProtection="1">
      <alignment horizontal="left"/>
      <protection hidden="1"/>
    </xf>
    <xf numFmtId="0" fontId="38" fillId="3" borderId="0" xfId="0" applyFont="1" applyFill="1" applyAlignment="1" applyProtection="1">
      <alignment horizontal="left" vertical="center"/>
      <protection hidden="1"/>
    </xf>
    <xf numFmtId="0" fontId="39" fillId="3" borderId="0" xfId="0" applyFont="1" applyFill="1" applyAlignment="1" applyProtection="1">
      <alignment horizontal="left" vertical="center"/>
      <protection hidden="1"/>
    </xf>
    <xf numFmtId="0" fontId="0" fillId="3" borderId="25" xfId="0" applyFill="1" applyBorder="1" applyAlignment="1" applyProtection="1">
      <alignment horizontal="left" vertical="center"/>
      <protection hidden="1"/>
    </xf>
    <xf numFmtId="0" fontId="38" fillId="3" borderId="0" xfId="0" applyFont="1" applyFill="1" applyAlignment="1" applyProtection="1">
      <alignment horizontal="left" vertical="top"/>
      <protection hidden="1"/>
    </xf>
    <xf numFmtId="164" fontId="38" fillId="3" borderId="0" xfId="0" applyNumberFormat="1" applyFont="1" applyFill="1" applyAlignment="1" applyProtection="1">
      <alignment horizontal="left" vertical="top"/>
      <protection hidden="1"/>
    </xf>
    <xf numFmtId="0" fontId="0" fillId="3" borderId="26" xfId="0" applyFill="1" applyBorder="1" applyAlignment="1" applyProtection="1">
      <alignment horizontal="center"/>
      <protection hidden="1"/>
    </xf>
    <xf numFmtId="0" fontId="0" fillId="3" borderId="27" xfId="0" applyFill="1" applyBorder="1" applyAlignment="1" applyProtection="1">
      <alignment horizontal="center"/>
      <protection hidden="1"/>
    </xf>
    <xf numFmtId="0" fontId="0" fillId="3" borderId="27" xfId="0" applyFill="1" applyBorder="1" applyProtection="1">
      <protection hidden="1"/>
    </xf>
    <xf numFmtId="0" fontId="0" fillId="3" borderId="28" xfId="0" applyFill="1" applyBorder="1" applyProtection="1">
      <protection hidden="1"/>
    </xf>
    <xf numFmtId="0" fontId="4" fillId="3" borderId="2" xfId="0" applyFont="1" applyFill="1" applyBorder="1" applyAlignment="1" applyProtection="1">
      <alignment horizontal="left" vertical="center" wrapText="1" indent="1"/>
      <protection hidden="1"/>
    </xf>
    <xf numFmtId="17" fontId="43" fillId="0" borderId="0" xfId="0" applyNumberFormat="1" applyFont="1" applyAlignment="1">
      <alignment horizontal="left"/>
    </xf>
    <xf numFmtId="14" fontId="0" fillId="0" borderId="0" xfId="0" applyNumberFormat="1"/>
    <xf numFmtId="164" fontId="43" fillId="0" borderId="0" xfId="0" applyNumberFormat="1" applyFont="1"/>
    <xf numFmtId="0" fontId="46" fillId="8" borderId="0" xfId="0" applyFont="1" applyFill="1" applyAlignment="1" applyProtection="1">
      <alignment horizontal="left" vertical="center" wrapText="1" indent="1"/>
      <protection hidden="1"/>
    </xf>
    <xf numFmtId="0" fontId="0" fillId="14" borderId="0" xfId="0" applyFill="1"/>
    <xf numFmtId="0" fontId="0" fillId="15" borderId="0" xfId="0" applyFill="1"/>
    <xf numFmtId="0" fontId="0" fillId="12" borderId="0" xfId="0" applyFill="1"/>
    <xf numFmtId="3" fontId="0" fillId="14" borderId="0" xfId="0" applyNumberFormat="1" applyFill="1"/>
    <xf numFmtId="1" fontId="0" fillId="8" borderId="0" xfId="0" applyNumberFormat="1" applyFill="1" applyAlignment="1" applyProtection="1">
      <alignment horizontal="right"/>
      <protection hidden="1"/>
    </xf>
    <xf numFmtId="0" fontId="21" fillId="8" borderId="0" xfId="0" applyFont="1" applyFill="1" applyAlignment="1" applyProtection="1">
      <alignment horizontal="left" vertical="center" wrapText="1"/>
      <protection hidden="1"/>
    </xf>
    <xf numFmtId="0" fontId="3" fillId="8" borderId="0" xfId="0" applyFont="1" applyFill="1" applyAlignment="1" applyProtection="1">
      <alignment horizontal="left" vertical="center" wrapText="1"/>
      <protection hidden="1"/>
    </xf>
    <xf numFmtId="0" fontId="3" fillId="14" borderId="0" xfId="0" applyFont="1" applyFill="1" applyAlignment="1" applyProtection="1">
      <alignment horizontal="left" vertical="top" wrapText="1"/>
      <protection hidden="1"/>
    </xf>
    <xf numFmtId="0" fontId="3" fillId="8" borderId="0" xfId="0" applyFont="1" applyFill="1" applyAlignment="1" applyProtection="1">
      <alignment horizontal="center" vertical="top" wrapText="1"/>
      <protection hidden="1"/>
    </xf>
    <xf numFmtId="4" fontId="0" fillId="8" borderId="0" xfId="0" applyNumberFormat="1" applyFill="1" applyProtection="1">
      <protection hidden="1"/>
    </xf>
    <xf numFmtId="0" fontId="0" fillId="0" borderId="0" xfId="0" applyAlignment="1" applyProtection="1">
      <alignment vertical="center"/>
      <protection hidden="1"/>
    </xf>
    <xf numFmtId="0" fontId="17" fillId="0" borderId="0" xfId="0" applyFont="1" applyProtection="1">
      <protection hidden="1"/>
    </xf>
    <xf numFmtId="1" fontId="0" fillId="8" borderId="0" xfId="0" applyNumberFormat="1" applyFill="1" applyAlignment="1" applyProtection="1">
      <alignment horizontal="left"/>
      <protection hidden="1"/>
    </xf>
    <xf numFmtId="0" fontId="49" fillId="8" borderId="0" xfId="0" applyFont="1" applyFill="1" applyAlignment="1" applyProtection="1">
      <alignment vertical="center"/>
      <protection hidden="1"/>
    </xf>
    <xf numFmtId="14" fontId="50" fillId="0" borderId="6" xfId="0" applyNumberFormat="1" applyFont="1" applyBorder="1" applyAlignment="1" applyProtection="1">
      <alignment horizontal="center" vertical="center" wrapText="1"/>
      <protection hidden="1"/>
    </xf>
    <xf numFmtId="3" fontId="0" fillId="8" borderId="0" xfId="0" applyNumberFormat="1" applyFill="1" applyProtection="1">
      <protection hidden="1"/>
    </xf>
    <xf numFmtId="0" fontId="0" fillId="8" borderId="1" xfId="0" applyFill="1" applyBorder="1" applyProtection="1">
      <protection hidden="1"/>
    </xf>
    <xf numFmtId="0" fontId="3" fillId="8" borderId="1" xfId="0" applyFont="1" applyFill="1" applyBorder="1" applyAlignment="1" applyProtection="1">
      <alignment horizontal="left" vertical="center" wrapText="1"/>
      <protection hidden="1"/>
    </xf>
    <xf numFmtId="0" fontId="46" fillId="8" borderId="1" xfId="0" applyFont="1" applyFill="1" applyBorder="1" applyAlignment="1" applyProtection="1">
      <alignment horizontal="left" vertical="center" wrapText="1" indent="1"/>
      <protection hidden="1"/>
    </xf>
    <xf numFmtId="4" fontId="4" fillId="3" borderId="2" xfId="0" applyNumberFormat="1" applyFont="1" applyFill="1" applyBorder="1" applyAlignment="1" applyProtection="1">
      <alignment horizontal="center" vertical="center" wrapText="1"/>
      <protection hidden="1"/>
    </xf>
    <xf numFmtId="2" fontId="4" fillId="3" borderId="0" xfId="0" applyNumberFormat="1" applyFont="1" applyFill="1" applyAlignment="1" applyProtection="1">
      <alignment horizontal="center" vertical="center" wrapText="1"/>
      <protection hidden="1"/>
    </xf>
    <xf numFmtId="2" fontId="4" fillId="3" borderId="2" xfId="1" applyNumberFormat="1" applyFont="1" applyFill="1" applyBorder="1" applyAlignment="1" applyProtection="1">
      <alignment horizontal="center" vertical="center" wrapText="1"/>
      <protection hidden="1"/>
    </xf>
    <xf numFmtId="0" fontId="4" fillId="5" borderId="15" xfId="0" applyFont="1" applyFill="1" applyBorder="1" applyAlignment="1" applyProtection="1">
      <alignment horizontal="center" vertical="center" wrapText="1"/>
      <protection locked="0"/>
    </xf>
    <xf numFmtId="0" fontId="4" fillId="5" borderId="20" xfId="0" applyFont="1" applyFill="1" applyBorder="1" applyAlignment="1" applyProtection="1">
      <alignment horizontal="center" vertical="center" wrapText="1"/>
      <protection locked="0"/>
    </xf>
    <xf numFmtId="3" fontId="4" fillId="5" borderId="15" xfId="0" applyNumberFormat="1" applyFont="1" applyFill="1" applyBorder="1" applyAlignment="1" applyProtection="1">
      <alignment horizontal="center" vertical="center" wrapText="1"/>
      <protection locked="0"/>
    </xf>
    <xf numFmtId="3" fontId="4" fillId="5" borderId="20" xfId="0" applyNumberFormat="1" applyFont="1" applyFill="1" applyBorder="1" applyAlignment="1" applyProtection="1">
      <alignment horizontal="center" vertical="center" wrapText="1"/>
      <protection locked="0"/>
    </xf>
    <xf numFmtId="9" fontId="4" fillId="5" borderId="15" xfId="1" applyFont="1" applyFill="1" applyBorder="1" applyAlignment="1" applyProtection="1">
      <alignment horizontal="center" vertical="center" wrapText="1"/>
      <protection locked="0"/>
    </xf>
    <xf numFmtId="9" fontId="4" fillId="5" borderId="20" xfId="1" applyFont="1" applyFill="1" applyBorder="1" applyAlignment="1" applyProtection="1">
      <alignment horizontal="center" vertical="center" wrapText="1"/>
      <protection locked="0"/>
    </xf>
    <xf numFmtId="0" fontId="13" fillId="3" borderId="15" xfId="0" applyFont="1" applyFill="1" applyBorder="1" applyAlignment="1">
      <alignment horizontal="center" vertical="center"/>
    </xf>
    <xf numFmtId="0" fontId="13" fillId="3" borderId="20" xfId="0" applyFont="1" applyFill="1" applyBorder="1" applyAlignment="1">
      <alignment horizontal="center" vertical="center"/>
    </xf>
    <xf numFmtId="3" fontId="4" fillId="3" borderId="15" xfId="0" applyNumberFormat="1" applyFont="1" applyFill="1" applyBorder="1" applyAlignment="1">
      <alignment horizontal="center" vertical="center" wrapText="1"/>
    </xf>
    <xf numFmtId="3" fontId="4" fillId="3" borderId="20" xfId="0" applyNumberFormat="1"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0" xfId="0" applyFont="1" applyFill="1" applyBorder="1" applyAlignment="1">
      <alignment horizontal="center" vertical="center" wrapText="1"/>
    </xf>
    <xf numFmtId="2" fontId="4" fillId="3" borderId="15" xfId="0" applyNumberFormat="1" applyFont="1" applyFill="1" applyBorder="1" applyAlignment="1">
      <alignment horizontal="center" vertical="center" wrapText="1"/>
    </xf>
    <xf numFmtId="2" fontId="4" fillId="3" borderId="20" xfId="0" applyNumberFormat="1" applyFont="1" applyFill="1" applyBorder="1" applyAlignment="1">
      <alignment horizontal="center" vertical="center" wrapText="1"/>
    </xf>
    <xf numFmtId="0" fontId="19" fillId="4" borderId="3" xfId="0" applyFont="1" applyFill="1" applyBorder="1" applyAlignment="1" applyProtection="1">
      <alignment horizontal="left" vertical="center" wrapText="1" indent="1"/>
      <protection hidden="1"/>
    </xf>
    <xf numFmtId="0" fontId="19" fillId="4" borderId="4" xfId="0" applyFont="1" applyFill="1" applyBorder="1" applyAlignment="1" applyProtection="1">
      <alignment horizontal="left" vertical="center" wrapText="1" indent="1"/>
      <protection hidden="1"/>
    </xf>
    <xf numFmtId="0" fontId="19" fillId="4" borderId="5" xfId="0" applyFont="1" applyFill="1" applyBorder="1" applyAlignment="1" applyProtection="1">
      <alignment horizontal="left" vertical="center" wrapText="1" indent="1"/>
      <protection hidden="1"/>
    </xf>
    <xf numFmtId="0" fontId="24" fillId="2" borderId="0" xfId="0" applyFont="1" applyFill="1" applyAlignment="1" applyProtection="1">
      <alignment horizontal="left" vertical="center"/>
      <protection hidden="1"/>
    </xf>
    <xf numFmtId="0" fontId="3" fillId="0" borderId="0" xfId="0" applyFont="1" applyAlignment="1" applyProtection="1">
      <alignment horizontal="left" vertical="top" wrapText="1"/>
      <protection hidden="1"/>
    </xf>
    <xf numFmtId="0" fontId="2" fillId="3" borderId="1" xfId="0" applyFont="1" applyFill="1" applyBorder="1" applyAlignment="1" applyProtection="1">
      <alignment horizontal="left" vertical="center"/>
      <protection hidden="1"/>
    </xf>
    <xf numFmtId="0" fontId="19" fillId="4" borderId="2" xfId="0" applyFont="1" applyFill="1" applyBorder="1" applyAlignment="1" applyProtection="1">
      <alignment horizontal="left" vertical="center" wrapText="1" indent="1"/>
      <protection hidden="1"/>
    </xf>
    <xf numFmtId="0" fontId="3" fillId="5" borderId="3" xfId="0" applyFont="1" applyFill="1" applyBorder="1" applyAlignment="1" applyProtection="1">
      <alignment horizontal="center" vertical="center" wrapText="1"/>
      <protection hidden="1"/>
    </xf>
    <xf numFmtId="0" fontId="3" fillId="5" borderId="4" xfId="0" applyFont="1" applyFill="1" applyBorder="1" applyAlignment="1" applyProtection="1">
      <alignment horizontal="center" vertical="center" wrapText="1"/>
      <protection hidden="1"/>
    </xf>
    <xf numFmtId="0" fontId="3" fillId="5" borderId="5" xfId="0" applyFont="1" applyFill="1" applyBorder="1" applyAlignment="1" applyProtection="1">
      <alignment horizontal="center" vertical="center" wrapText="1"/>
      <protection hidden="1"/>
    </xf>
    <xf numFmtId="0" fontId="13" fillId="3" borderId="15" xfId="0" applyFont="1" applyFill="1" applyBorder="1" applyAlignment="1" applyProtection="1">
      <alignment horizontal="left" vertical="center" indent="1"/>
      <protection hidden="1"/>
    </xf>
    <xf numFmtId="14" fontId="13" fillId="3" borderId="15" xfId="0" applyNumberFormat="1" applyFont="1" applyFill="1" applyBorder="1" applyAlignment="1" applyProtection="1">
      <alignment horizontal="left" vertical="center" indent="1"/>
      <protection hidden="1"/>
    </xf>
    <xf numFmtId="164" fontId="13" fillId="3" borderId="15" xfId="0" applyNumberFormat="1" applyFont="1" applyFill="1" applyBorder="1" applyAlignment="1" applyProtection="1">
      <alignment horizontal="left" vertical="center" indent="1"/>
      <protection hidden="1"/>
    </xf>
    <xf numFmtId="0" fontId="20" fillId="0" borderId="0" xfId="0" applyFont="1" applyAlignment="1" applyProtection="1">
      <alignment horizontal="left" vertical="center" wrapText="1"/>
      <protection hidden="1"/>
    </xf>
    <xf numFmtId="0" fontId="4" fillId="6" borderId="7" xfId="0" applyFont="1" applyFill="1" applyBorder="1" applyAlignment="1" applyProtection="1">
      <alignment horizontal="center" vertical="center" wrapText="1"/>
      <protection hidden="1"/>
    </xf>
    <xf numFmtId="0" fontId="4" fillId="6" borderId="6"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wrapText="1"/>
      <protection hidden="1"/>
    </xf>
    <xf numFmtId="0" fontId="32" fillId="5" borderId="3" xfId="0" applyFont="1" applyFill="1" applyBorder="1" applyAlignment="1" applyProtection="1">
      <alignment horizontal="left" vertical="center" wrapText="1" indent="1"/>
      <protection locked="0"/>
    </xf>
    <xf numFmtId="0" fontId="32" fillId="5" borderId="5" xfId="0" applyFont="1" applyFill="1" applyBorder="1" applyAlignment="1" applyProtection="1">
      <alignment horizontal="left" vertical="center" wrapText="1" indent="1"/>
      <protection locked="0"/>
    </xf>
    <xf numFmtId="0" fontId="45" fillId="8" borderId="0" xfId="0" applyFont="1" applyFill="1" applyAlignment="1" applyProtection="1">
      <alignment horizontal="left"/>
      <protection hidden="1"/>
    </xf>
    <xf numFmtId="0" fontId="21" fillId="8" borderId="0" xfId="0" applyFont="1" applyFill="1" applyAlignment="1" applyProtection="1">
      <alignment horizontal="left" vertical="center" wrapText="1"/>
      <protection hidden="1"/>
    </xf>
    <xf numFmtId="0" fontId="3" fillId="8" borderId="0" xfId="0" applyFont="1" applyFill="1" applyAlignment="1" applyProtection="1">
      <alignment horizontal="left" vertical="center" wrapText="1"/>
      <protection hidden="1"/>
    </xf>
    <xf numFmtId="0" fontId="46" fillId="8" borderId="0" xfId="0" applyFont="1" applyFill="1" applyAlignment="1" applyProtection="1">
      <alignment horizontal="left" vertical="center" wrapText="1" indent="1"/>
      <protection hidden="1"/>
    </xf>
    <xf numFmtId="3" fontId="51" fillId="8" borderId="0" xfId="0" applyNumberFormat="1" applyFont="1" applyFill="1" applyAlignment="1" applyProtection="1">
      <alignment horizontal="center" vertical="center" wrapText="1"/>
      <protection hidden="1"/>
    </xf>
    <xf numFmtId="0" fontId="27" fillId="2" borderId="0" xfId="0" applyFont="1" applyFill="1" applyAlignment="1" applyProtection="1">
      <alignment horizontal="left" vertical="center"/>
      <protection hidden="1"/>
    </xf>
    <xf numFmtId="0" fontId="45" fillId="8" borderId="0" xfId="0" applyFont="1" applyFill="1" applyAlignment="1" applyProtection="1">
      <alignment horizontal="left" vertical="center" wrapText="1"/>
      <protection hidden="1"/>
    </xf>
    <xf numFmtId="0" fontId="3" fillId="8" borderId="0" xfId="0" applyFont="1" applyFill="1" applyAlignment="1" applyProtection="1">
      <alignment horizontal="left" vertical="top" wrapText="1"/>
      <protection hidden="1"/>
    </xf>
    <xf numFmtId="0" fontId="3" fillId="8" borderId="11" xfId="0" applyFont="1" applyFill="1" applyBorder="1" applyAlignment="1" applyProtection="1">
      <alignment horizontal="center" vertical="top" wrapText="1"/>
      <protection hidden="1"/>
    </xf>
    <xf numFmtId="0" fontId="3" fillId="8" borderId="0" xfId="0" applyFont="1" applyFill="1" applyAlignment="1" applyProtection="1">
      <alignment horizontal="center" vertical="top" wrapText="1"/>
      <protection hidden="1"/>
    </xf>
    <xf numFmtId="0" fontId="45" fillId="8" borderId="0" xfId="0" applyFont="1" applyFill="1" applyAlignment="1" applyProtection="1">
      <alignment horizontal="left" wrapText="1"/>
      <protection hidden="1"/>
    </xf>
    <xf numFmtId="4" fontId="4" fillId="5" borderId="7" xfId="0" applyNumberFormat="1" applyFont="1" applyFill="1" applyBorder="1" applyAlignment="1" applyProtection="1">
      <alignment horizontal="center" vertical="center" wrapText="1"/>
      <protection locked="0"/>
    </xf>
    <xf numFmtId="4" fontId="4" fillId="5" borderId="12" xfId="0" applyNumberFormat="1" applyFont="1" applyFill="1" applyBorder="1" applyAlignment="1" applyProtection="1">
      <alignment horizontal="center" vertical="center" wrapText="1"/>
      <protection locked="0"/>
    </xf>
    <xf numFmtId="0" fontId="4" fillId="8" borderId="0" xfId="0" applyFont="1" applyFill="1" applyAlignment="1" applyProtection="1">
      <alignment horizontal="left" vertical="center" wrapText="1"/>
      <protection hidden="1"/>
    </xf>
    <xf numFmtId="0" fontId="3" fillId="8" borderId="0" xfId="0" applyFont="1" applyFill="1" applyAlignment="1" applyProtection="1">
      <alignment horizontal="left" wrapText="1"/>
      <protection hidden="1"/>
    </xf>
    <xf numFmtId="0" fontId="45" fillId="3" borderId="0" xfId="0" applyFont="1" applyFill="1" applyAlignment="1" applyProtection="1">
      <alignment horizontal="left" vertical="center"/>
      <protection hidden="1"/>
    </xf>
    <xf numFmtId="0" fontId="49" fillId="8" borderId="1" xfId="0" applyFont="1" applyFill="1" applyBorder="1" applyAlignment="1" applyProtection="1">
      <alignment horizontal="left" vertical="center" wrapText="1"/>
      <protection hidden="1"/>
    </xf>
    <xf numFmtId="0" fontId="0" fillId="5" borderId="2" xfId="0" quotePrefix="1" applyFill="1" applyBorder="1" applyAlignment="1" applyProtection="1">
      <alignment horizontal="left" vertical="center" wrapText="1" indent="1"/>
      <protection locked="0"/>
    </xf>
    <xf numFmtId="0" fontId="0" fillId="5" borderId="2" xfId="0" applyFill="1" applyBorder="1" applyAlignment="1" applyProtection="1">
      <alignment horizontal="left" vertical="center" wrapText="1" indent="1"/>
      <protection locked="0"/>
    </xf>
    <xf numFmtId="0" fontId="3" fillId="3" borderId="0" xfId="0" applyFont="1" applyFill="1" applyAlignment="1" applyProtection="1">
      <alignment horizontal="left" vertical="center" wrapText="1"/>
      <protection hidden="1"/>
    </xf>
    <xf numFmtId="0" fontId="3" fillId="5" borderId="2" xfId="0" applyFont="1" applyFill="1" applyBorder="1" applyAlignment="1" applyProtection="1">
      <alignment horizontal="left" vertical="center" wrapText="1" indent="1"/>
      <protection locked="0"/>
    </xf>
    <xf numFmtId="0" fontId="1" fillId="3" borderId="0" xfId="0" applyFont="1" applyFill="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42" fillId="5" borderId="3" xfId="0" applyFont="1" applyFill="1" applyBorder="1" applyAlignment="1" applyProtection="1">
      <alignment horizontal="left" vertical="center" wrapText="1" indent="1"/>
      <protection locked="0"/>
    </xf>
    <xf numFmtId="0" fontId="42" fillId="5" borderId="4" xfId="0" applyFont="1" applyFill="1" applyBorder="1" applyAlignment="1" applyProtection="1">
      <alignment horizontal="left" vertical="center" wrapText="1" indent="1"/>
      <protection locked="0"/>
    </xf>
    <xf numFmtId="0" fontId="42" fillId="5" borderId="5" xfId="0" applyFont="1" applyFill="1" applyBorder="1" applyAlignment="1" applyProtection="1">
      <alignment horizontal="left" vertical="center" wrapText="1" indent="1"/>
      <protection locked="0"/>
    </xf>
    <xf numFmtId="0" fontId="4" fillId="4" borderId="3" xfId="0" applyFont="1" applyFill="1" applyBorder="1" applyAlignment="1" applyProtection="1">
      <alignment horizontal="center" vertical="center" wrapText="1"/>
      <protection hidden="1"/>
    </xf>
    <xf numFmtId="0" fontId="4" fillId="4" borderId="4" xfId="0" applyFont="1" applyFill="1" applyBorder="1" applyAlignment="1" applyProtection="1">
      <alignment horizontal="center" vertical="center"/>
      <protection hidden="1"/>
    </xf>
    <xf numFmtId="0" fontId="4" fillId="4" borderId="5" xfId="0" applyFont="1" applyFill="1" applyBorder="1" applyAlignment="1" applyProtection="1">
      <alignment horizontal="center" vertical="center"/>
      <protection hidden="1"/>
    </xf>
    <xf numFmtId="0" fontId="4" fillId="3" borderId="11" xfId="0" applyFont="1" applyFill="1" applyBorder="1" applyAlignment="1" applyProtection="1">
      <alignment horizontal="right" vertical="center" indent="1"/>
      <protection hidden="1"/>
    </xf>
    <xf numFmtId="0" fontId="4" fillId="3" borderId="19" xfId="0" applyFont="1" applyFill="1" applyBorder="1" applyAlignment="1" applyProtection="1">
      <alignment horizontal="right" vertical="center" indent="1"/>
      <protection hidden="1"/>
    </xf>
    <xf numFmtId="0" fontId="1" fillId="3" borderId="0" xfId="0" applyFont="1" applyFill="1" applyAlignment="1" applyProtection="1">
      <alignment horizontal="center" vertical="top" wrapText="1"/>
      <protection hidden="1"/>
    </xf>
    <xf numFmtId="0" fontId="4" fillId="4" borderId="7" xfId="0" applyFont="1" applyFill="1" applyBorder="1" applyAlignment="1" applyProtection="1">
      <alignment horizontal="left" vertical="center" wrapText="1" indent="1"/>
      <protection hidden="1"/>
    </xf>
    <xf numFmtId="0" fontId="4" fillId="4" borderId="6" xfId="0" applyFont="1" applyFill="1" applyBorder="1" applyAlignment="1" applyProtection="1">
      <alignment horizontal="left" vertical="center" wrapText="1" indent="1"/>
      <protection hidden="1"/>
    </xf>
    <xf numFmtId="0" fontId="4" fillId="4" borderId="12" xfId="0" applyFont="1" applyFill="1" applyBorder="1" applyAlignment="1" applyProtection="1">
      <alignment horizontal="left" vertical="center" wrapText="1" indent="1"/>
      <protection hidden="1"/>
    </xf>
    <xf numFmtId="0" fontId="33" fillId="5" borderId="13" xfId="0" applyFont="1" applyFill="1" applyBorder="1" applyAlignment="1" applyProtection="1">
      <alignment horizontal="left" vertical="center" wrapText="1" indent="1"/>
      <protection locked="0"/>
    </xf>
    <xf numFmtId="0" fontId="33" fillId="5" borderId="16" xfId="0" applyFont="1" applyFill="1" applyBorder="1" applyAlignment="1" applyProtection="1">
      <alignment horizontal="left" vertical="center" wrapText="1" indent="1"/>
      <protection locked="0"/>
    </xf>
    <xf numFmtId="0" fontId="33" fillId="5" borderId="17" xfId="0" applyFont="1" applyFill="1" applyBorder="1" applyAlignment="1" applyProtection="1">
      <alignment horizontal="left" vertical="center" wrapText="1" indent="1"/>
      <protection locked="0"/>
    </xf>
    <xf numFmtId="0" fontId="33" fillId="5" borderId="11" xfId="0" applyFont="1" applyFill="1" applyBorder="1" applyAlignment="1" applyProtection="1">
      <alignment horizontal="left" vertical="center" wrapText="1" indent="1"/>
      <protection locked="0"/>
    </xf>
    <xf numFmtId="0" fontId="33" fillId="5" borderId="0" xfId="0" applyFont="1" applyFill="1" applyAlignment="1" applyProtection="1">
      <alignment horizontal="left" vertical="center" wrapText="1" indent="1"/>
      <protection locked="0"/>
    </xf>
    <xf numFmtId="0" fontId="33" fillId="5" borderId="19" xfId="0" applyFont="1" applyFill="1" applyBorder="1" applyAlignment="1" applyProtection="1">
      <alignment horizontal="left" vertical="center" wrapText="1" indent="1"/>
      <protection locked="0"/>
    </xf>
    <xf numFmtId="0" fontId="33" fillId="5" borderId="18" xfId="0" applyFont="1" applyFill="1" applyBorder="1" applyAlignment="1" applyProtection="1">
      <alignment horizontal="left" vertical="center" wrapText="1" indent="1"/>
      <protection locked="0"/>
    </xf>
    <xf numFmtId="0" fontId="33" fillId="5" borderId="1" xfId="0" applyFont="1" applyFill="1" applyBorder="1" applyAlignment="1" applyProtection="1">
      <alignment horizontal="left" vertical="center" wrapText="1" indent="1"/>
      <protection locked="0"/>
    </xf>
    <xf numFmtId="0" fontId="33" fillId="5" borderId="14" xfId="0" applyFont="1" applyFill="1" applyBorder="1" applyAlignment="1" applyProtection="1">
      <alignment horizontal="left" vertical="center" wrapText="1" indent="1"/>
      <protection locked="0"/>
    </xf>
    <xf numFmtId="0" fontId="2" fillId="3" borderId="0" xfId="0" applyFont="1" applyFill="1" applyAlignment="1" applyProtection="1">
      <alignment horizontal="left" wrapText="1"/>
      <protection hidden="1"/>
    </xf>
    <xf numFmtId="0" fontId="2" fillId="3" borderId="1" xfId="0" applyFont="1" applyFill="1" applyBorder="1" applyAlignment="1" applyProtection="1">
      <alignment horizontal="left" wrapText="1"/>
      <protection hidden="1"/>
    </xf>
    <xf numFmtId="0" fontId="32" fillId="5" borderId="13" xfId="0" applyFont="1" applyFill="1" applyBorder="1" applyAlignment="1" applyProtection="1">
      <alignment horizontal="left" vertical="center" wrapText="1" indent="1"/>
      <protection locked="0"/>
    </xf>
    <xf numFmtId="0" fontId="32" fillId="5" borderId="16" xfId="0" applyFont="1" applyFill="1" applyBorder="1" applyAlignment="1" applyProtection="1">
      <alignment horizontal="left" vertical="center" wrapText="1" indent="1"/>
      <protection locked="0"/>
    </xf>
    <xf numFmtId="0" fontId="32" fillId="5" borderId="17" xfId="0" applyFont="1" applyFill="1" applyBorder="1" applyAlignment="1" applyProtection="1">
      <alignment horizontal="left" vertical="center" wrapText="1" indent="1"/>
      <protection locked="0"/>
    </xf>
    <xf numFmtId="0" fontId="32" fillId="5" borderId="18" xfId="0" applyFont="1" applyFill="1" applyBorder="1" applyAlignment="1" applyProtection="1">
      <alignment horizontal="left" vertical="center" wrapText="1" indent="1"/>
      <protection locked="0"/>
    </xf>
    <xf numFmtId="0" fontId="32" fillId="5" borderId="1" xfId="0" applyFont="1" applyFill="1" applyBorder="1" applyAlignment="1" applyProtection="1">
      <alignment horizontal="left" vertical="center" wrapText="1" indent="1"/>
      <protection locked="0"/>
    </xf>
    <xf numFmtId="0" fontId="32" fillId="5" borderId="14" xfId="0" applyFont="1" applyFill="1" applyBorder="1" applyAlignment="1" applyProtection="1">
      <alignment horizontal="left" vertical="center" wrapText="1" indent="1"/>
      <protection locked="0"/>
    </xf>
    <xf numFmtId="0" fontId="32" fillId="5" borderId="4" xfId="0" applyFont="1" applyFill="1" applyBorder="1" applyAlignment="1" applyProtection="1">
      <alignment horizontal="left" vertical="center" wrapText="1" indent="1"/>
      <protection locked="0"/>
    </xf>
    <xf numFmtId="0" fontId="3" fillId="3" borderId="0" xfId="0" applyFont="1" applyFill="1" applyAlignment="1" applyProtection="1">
      <alignment horizontal="left" vertical="top" wrapText="1"/>
      <protection hidden="1"/>
    </xf>
    <xf numFmtId="164" fontId="32" fillId="6" borderId="3" xfId="0" applyNumberFormat="1" applyFont="1" applyFill="1" applyBorder="1" applyAlignment="1" applyProtection="1">
      <alignment horizontal="left" vertical="center" wrapText="1" indent="1"/>
      <protection hidden="1"/>
    </xf>
    <xf numFmtId="0" fontId="32" fillId="6" borderId="4" xfId="0" applyFont="1" applyFill="1" applyBorder="1" applyAlignment="1" applyProtection="1">
      <alignment horizontal="left" vertical="center" wrapText="1" indent="1"/>
      <protection hidden="1"/>
    </xf>
    <xf numFmtId="0" fontId="32" fillId="6" borderId="5" xfId="0" applyFont="1" applyFill="1" applyBorder="1" applyAlignment="1" applyProtection="1">
      <alignment horizontal="left" vertical="center" wrapText="1" indent="1"/>
      <protection hidden="1"/>
    </xf>
    <xf numFmtId="0" fontId="3" fillId="0" borderId="1" xfId="0" applyFont="1" applyBorder="1" applyAlignment="1" applyProtection="1">
      <alignment horizontal="left" vertical="top" wrapText="1"/>
      <protection hidden="1"/>
    </xf>
    <xf numFmtId="0" fontId="31" fillId="7" borderId="3" xfId="0" applyFont="1" applyFill="1" applyBorder="1" applyAlignment="1" applyProtection="1">
      <alignment horizontal="center" vertical="center" wrapText="1"/>
      <protection hidden="1"/>
    </xf>
    <xf numFmtId="0" fontId="31" fillId="7" borderId="4" xfId="0" applyFont="1" applyFill="1" applyBorder="1" applyAlignment="1" applyProtection="1">
      <alignment horizontal="center" vertical="center" wrapText="1"/>
      <protection hidden="1"/>
    </xf>
    <xf numFmtId="0" fontId="31" fillId="7" borderId="5" xfId="0" applyFont="1" applyFill="1" applyBorder="1" applyAlignment="1" applyProtection="1">
      <alignment horizontal="center" vertical="center" wrapText="1"/>
      <protection hidden="1"/>
    </xf>
    <xf numFmtId="0" fontId="6" fillId="6" borderId="0" xfId="0" applyFont="1" applyFill="1" applyAlignment="1">
      <alignment horizontal="left" vertical="center" wrapText="1" indent="1"/>
    </xf>
    <xf numFmtId="0" fontId="31" fillId="3" borderId="1" xfId="0" applyFont="1" applyFill="1" applyBorder="1" applyAlignment="1" applyProtection="1">
      <alignment horizontal="left" vertical="center"/>
      <protection hidden="1"/>
    </xf>
    <xf numFmtId="0" fontId="4" fillId="6" borderId="0" xfId="0" applyFont="1" applyFill="1" applyAlignment="1" applyProtection="1">
      <alignment horizontal="left" vertical="center" wrapText="1" indent="1"/>
      <protection hidden="1"/>
    </xf>
    <xf numFmtId="166" fontId="6" fillId="6" borderId="0" xfId="0" applyNumberFormat="1" applyFont="1" applyFill="1" applyAlignment="1">
      <alignment horizontal="left" vertical="center" wrapText="1" indent="1"/>
    </xf>
    <xf numFmtId="0" fontId="24" fillId="2" borderId="0" xfId="0" applyFont="1" applyFill="1" applyAlignment="1" applyProtection="1">
      <alignment horizontal="left" vertical="center" indent="1"/>
      <protection hidden="1"/>
    </xf>
    <xf numFmtId="164" fontId="6" fillId="6" borderId="0" xfId="0" applyNumberFormat="1" applyFont="1" applyFill="1" applyAlignment="1">
      <alignment horizontal="left" vertical="top" wrapText="1" indent="1"/>
    </xf>
    <xf numFmtId="0" fontId="4" fillId="6" borderId="0" xfId="0" applyFont="1" applyFill="1" applyAlignment="1" applyProtection="1">
      <alignment horizontal="left" vertical="top" wrapText="1" indent="1"/>
      <protection hidden="1"/>
    </xf>
    <xf numFmtId="0" fontId="19" fillId="5" borderId="3" xfId="0" applyFont="1" applyFill="1" applyBorder="1" applyAlignment="1" applyProtection="1">
      <alignment horizontal="left" vertical="center" wrapText="1" indent="1"/>
      <protection locked="0"/>
    </xf>
    <xf numFmtId="0" fontId="19" fillId="5" borderId="4" xfId="0" applyFont="1" applyFill="1" applyBorder="1" applyAlignment="1" applyProtection="1">
      <alignment horizontal="left" vertical="center" wrapText="1" indent="1"/>
      <protection locked="0"/>
    </xf>
    <xf numFmtId="0" fontId="19" fillId="5" borderId="5" xfId="0" applyFont="1" applyFill="1" applyBorder="1" applyAlignment="1" applyProtection="1">
      <alignment horizontal="left" vertical="center" wrapText="1" indent="1"/>
      <protection locked="0"/>
    </xf>
    <xf numFmtId="0" fontId="4" fillId="3" borderId="4" xfId="0" applyFont="1" applyFill="1" applyBorder="1" applyAlignment="1" applyProtection="1">
      <alignment horizontal="left" vertical="center" wrapText="1"/>
      <protection hidden="1"/>
    </xf>
    <xf numFmtId="0" fontId="6" fillId="3" borderId="0" xfId="0" applyFont="1" applyFill="1" applyAlignment="1" applyProtection="1">
      <alignment horizontal="left" vertical="top" wrapText="1"/>
      <protection hidden="1"/>
    </xf>
    <xf numFmtId="0" fontId="48" fillId="3" borderId="1" xfId="0" applyFont="1" applyFill="1" applyBorder="1" applyAlignment="1" applyProtection="1">
      <alignment horizontal="left" vertical="center" wrapText="1"/>
      <protection hidden="1"/>
    </xf>
    <xf numFmtId="0" fontId="21" fillId="0" borderId="1" xfId="0" applyFont="1" applyBorder="1" applyAlignment="1" applyProtection="1">
      <alignment horizontal="left" vertical="top" wrapText="1"/>
      <protection hidden="1"/>
    </xf>
    <xf numFmtId="0" fontId="3" fillId="0" borderId="0" xfId="0" applyFont="1" applyAlignment="1" applyProtection="1">
      <alignment horizontal="left" vertical="top"/>
      <protection hidden="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cellXfs>
  <cellStyles count="3">
    <cellStyle name="Normal" xfId="0" builtinId="0"/>
    <cellStyle name="Normal 2" xfId="2" xr:uid="{2CEB78BF-7DCF-4E1A-9576-18577FEB0E50}"/>
    <cellStyle name="Percent" xfId="1" builtinId="5"/>
  </cellStyles>
  <dxfs count="53">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numFmt numFmtId="167"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numFmt numFmtId="167"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9"/>
        <color auto="1"/>
        <name val="Avenir Next LT Pro"/>
        <family val="2"/>
        <scheme val="minor"/>
      </font>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border outline="0">
        <top style="medium">
          <color theme="3"/>
        </top>
      </border>
    </dxf>
    <dxf>
      <border>
        <bottom style="medium">
          <color theme="3"/>
        </bottom>
      </border>
    </dxf>
    <dxf>
      <border outline="0">
        <right style="medium">
          <color theme="3"/>
        </right>
        <top style="medium">
          <color rgb="FF005455"/>
        </top>
        <bottom style="medium">
          <color theme="3"/>
        </bottom>
      </border>
    </dxf>
    <dxf>
      <font>
        <strike val="0"/>
        <outline val="0"/>
        <shadow val="0"/>
        <u val="none"/>
        <vertAlign val="baseline"/>
        <sz val="9"/>
        <color auto="1"/>
        <name val="Avenir Next LT Pro"/>
        <family val="2"/>
        <scheme val="minor"/>
      </font>
      <protection locked="1" hidden="1"/>
    </dxf>
    <dxf>
      <font>
        <b/>
        <i val="0"/>
        <strike val="0"/>
        <condense val="0"/>
        <extend val="0"/>
        <outline val="0"/>
        <shadow val="0"/>
        <u val="none"/>
        <vertAlign val="baseline"/>
        <sz val="12"/>
        <color theme="3"/>
        <name val="Avenir Next LT Pro"/>
        <family val="2"/>
        <scheme val="minor"/>
      </font>
      <fill>
        <patternFill patternType="solid">
          <fgColor indexed="64"/>
          <bgColor theme="2" tint="0.79998168889431442"/>
        </patternFill>
      </fill>
      <alignment horizontal="center" vertical="center" textRotation="0" wrapText="1" indent="0" justifyLastLine="0" shrinkToFit="0" readingOrder="0"/>
      <border diagonalUp="0" diagonalDown="0">
        <left style="medium">
          <color theme="3"/>
        </left>
        <right style="medium">
          <color theme="3"/>
        </right>
        <top/>
        <bottom/>
      </border>
      <protection locked="1" hidden="1"/>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vertical/>
        <horizontal/>
      </border>
      <protection locked="0" hidden="0"/>
    </dxf>
    <dxf>
      <font>
        <b val="0"/>
        <i val="0"/>
        <strike val="0"/>
        <condense val="0"/>
        <extend val="0"/>
        <outline val="0"/>
        <shadow val="0"/>
        <u val="none"/>
        <vertAlign val="baseline"/>
        <sz val="12"/>
        <color theme="3"/>
        <name val="Avenir Next LT Pro"/>
        <family val="2"/>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vertical/>
        <horizontal/>
      </border>
      <protection locked="1" hidden="1"/>
    </dxf>
    <dxf>
      <font>
        <b val="0"/>
        <i val="0"/>
        <strike val="0"/>
        <condense val="0"/>
        <extend val="0"/>
        <outline val="0"/>
        <shadow val="0"/>
        <u val="none"/>
        <vertAlign val="baseline"/>
        <sz val="12"/>
        <color theme="3"/>
        <name val="Avenir Next LT Pro"/>
        <family val="2"/>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ont>
        <b val="0"/>
        <i val="0"/>
        <strike val="0"/>
        <condense val="0"/>
        <extend val="0"/>
        <outline val="0"/>
        <shadow val="0"/>
        <u val="none"/>
        <vertAlign val="baseline"/>
        <sz val="12"/>
        <color theme="3"/>
        <name val="Avenir Next LT Pro"/>
        <family val="2"/>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ont>
        <b val="0"/>
        <i val="0"/>
        <strike val="0"/>
        <condense val="0"/>
        <extend val="0"/>
        <outline val="0"/>
        <shadow val="0"/>
        <u val="none"/>
        <vertAlign val="baseline"/>
        <sz val="12"/>
        <color theme="3"/>
        <name val="Avenir Next LT Pro"/>
        <family val="2"/>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ont>
        <b val="0"/>
        <i val="0"/>
        <strike val="0"/>
        <condense val="0"/>
        <extend val="0"/>
        <outline val="0"/>
        <shadow val="0"/>
        <u val="none"/>
        <vertAlign val="baseline"/>
        <sz val="12"/>
        <color theme="3"/>
        <name val="Avenir Next LT Pro"/>
        <family val="2"/>
        <scheme val="minor"/>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1" hidden="1"/>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0"/>
        <name val="Avenir Next LT Pro"/>
        <family val="2"/>
        <scheme val="minor"/>
      </font>
      <numFmt numFmtId="167" formatCode="d/mm/yyyy"/>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2"/>
        <color theme="3"/>
        <name val="Avenir Next LT Pro"/>
        <family val="2"/>
        <scheme val="minor"/>
      </font>
      <numFmt numFmtId="164" formatCode="0.0"/>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2"/>
        <color theme="3"/>
        <name val="Avenir Next LT Pro"/>
        <family val="2"/>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border>
      <protection locked="1" hidden="1"/>
    </dxf>
    <dxf>
      <font>
        <b val="0"/>
        <i val="0"/>
        <strike val="0"/>
        <condense val="0"/>
        <extend val="0"/>
        <outline val="0"/>
        <shadow val="0"/>
        <u val="none"/>
        <vertAlign val="baseline"/>
        <sz val="12"/>
        <color theme="3"/>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outline="0">
        <left style="medium">
          <color theme="3"/>
        </left>
        <right style="medium">
          <color theme="3"/>
        </right>
        <top style="medium">
          <color theme="3"/>
        </top>
        <bottom style="medium">
          <color theme="3"/>
        </bottom>
      </border>
      <protection locked="0" hidden="0"/>
    </dxf>
    <dxf>
      <font>
        <b val="0"/>
        <i val="0"/>
        <strike val="0"/>
        <condense val="0"/>
        <extend val="0"/>
        <outline val="0"/>
        <shadow val="0"/>
        <u val="none"/>
        <vertAlign val="baseline"/>
        <sz val="12"/>
        <color theme="3"/>
        <name val="Avenir Next LT Pro"/>
        <family val="2"/>
        <scheme val="minor"/>
      </font>
      <numFmt numFmtId="167" formatCode="d/mm/yyyy"/>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i val="0"/>
        <strike val="0"/>
        <condense val="0"/>
        <extend val="0"/>
        <outline val="0"/>
        <shadow val="0"/>
        <u val="none"/>
        <vertAlign val="baseline"/>
        <sz val="12"/>
        <color theme="3"/>
        <name val="Avenir Next LT Pro"/>
        <family val="2"/>
        <scheme val="minor"/>
      </font>
      <fill>
        <patternFill patternType="solid">
          <fgColor indexed="64"/>
          <bgColor theme="6" tint="0.79998168889431442"/>
        </patternFill>
      </fill>
      <alignment horizontal="center" vertical="center" textRotation="0" wrapText="1" indent="0" justifyLastLine="0" shrinkToFit="0" readingOrder="0"/>
      <border diagonalUp="0" diagonalDown="0">
        <left/>
        <right style="medium">
          <color theme="3"/>
        </right>
        <top style="medium">
          <color theme="3"/>
        </top>
        <bottom style="medium">
          <color theme="3"/>
        </bottom>
        <vertical/>
        <horizontal/>
      </border>
      <protection locked="1" hidden="1"/>
    </dxf>
    <dxf>
      <border outline="0">
        <left style="medium">
          <color theme="3"/>
        </left>
        <right style="medium">
          <color theme="3"/>
        </right>
      </border>
    </dxf>
    <dxf>
      <font>
        <b/>
        <i val="0"/>
        <strike val="0"/>
        <condense val="0"/>
        <extend val="0"/>
        <outline val="0"/>
        <shadow val="0"/>
        <u val="none"/>
        <vertAlign val="baseline"/>
        <sz val="12"/>
        <color theme="3"/>
        <name val="Avenir Next LT Pro"/>
        <family val="2"/>
        <scheme val="minor"/>
      </font>
      <fill>
        <patternFill patternType="solid">
          <fgColor indexed="64"/>
          <bgColor theme="6"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ill>
        <patternFill>
          <bgColor theme="6" tint="0.79998168889431442"/>
        </patternFill>
      </fill>
    </dxf>
    <dxf>
      <font>
        <b val="0"/>
        <i val="0"/>
        <strike val="0"/>
        <condense val="0"/>
        <extend val="0"/>
        <outline val="0"/>
        <shadow val="0"/>
        <u val="none"/>
        <vertAlign val="baseline"/>
        <sz val="12"/>
        <color theme="1" tint="0.14999847407452621"/>
        <name val="Avenir Next LT Pro"/>
        <family val="2"/>
        <scheme val="minor"/>
      </font>
      <numFmt numFmtId="164" formatCode="0.0"/>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top style="medium">
          <color theme="3"/>
        </top>
        <bottom style="medium">
          <color theme="3"/>
        </bottom>
        <vertical/>
        <horizontal/>
      </border>
      <protection locked="0" hidden="0"/>
    </dxf>
    <dxf>
      <font>
        <b val="0"/>
        <i val="0"/>
        <strike val="0"/>
        <condense val="0"/>
        <extend val="0"/>
        <outline val="0"/>
        <shadow val="0"/>
        <u val="none"/>
        <vertAlign val="baseline"/>
        <sz val="12"/>
        <color theme="1" tint="0.14999847407452621"/>
        <name val="Avenir Next LT Pro"/>
        <family val="2"/>
        <scheme val="minor"/>
      </font>
      <numFmt numFmtId="164" formatCode="0.0"/>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tint="0.14999847407452621"/>
        <name val="Avenir Next LT Pro"/>
        <family val="2"/>
        <scheme val="minor"/>
      </font>
      <numFmt numFmtId="164" formatCode="0.0"/>
      <fill>
        <patternFill patternType="solid">
          <fgColor indexed="64"/>
          <bgColor rgb="FFFFFFE5"/>
        </patternFill>
      </fill>
      <alignment horizontal="center" vertical="center" textRotation="0" wrapText="1" indent="0" justifyLastLine="0" shrinkToFit="0" readingOrder="0"/>
      <border diagonalUp="0" diagonalDown="0">
        <left style="medium">
          <color theme="3"/>
        </left>
        <right style="medium">
          <color theme="3"/>
        </right>
        <top style="medium">
          <color theme="3"/>
        </top>
        <bottom style="medium">
          <color theme="3"/>
        </bottom>
        <vertical/>
        <horizontal/>
      </border>
      <protection locked="0" hidden="0"/>
    </dxf>
    <dxf>
      <font>
        <b val="0"/>
        <i val="0"/>
        <strike val="0"/>
        <condense val="0"/>
        <extend val="0"/>
        <outline val="0"/>
        <shadow val="0"/>
        <u val="none"/>
        <vertAlign val="baseline"/>
        <sz val="12"/>
        <color theme="1" tint="0.14999847407452621"/>
        <name val="Avenir Next LT Pro"/>
        <family val="2"/>
        <scheme val="minor"/>
      </font>
      <fill>
        <patternFill patternType="solid">
          <fgColor indexed="64"/>
          <bgColor rgb="FFFFFFE5"/>
        </patternFill>
      </fill>
      <alignment horizontal="center" vertical="center" textRotation="0" wrapText="1" indent="0" justifyLastLine="0" shrinkToFit="0" readingOrder="0"/>
      <border diagonalUp="0" diagonalDown="0">
        <left/>
        <right style="medium">
          <color theme="3"/>
        </right>
        <top style="medium">
          <color theme="3"/>
        </top>
        <bottom style="medium">
          <color theme="3"/>
        </bottom>
        <vertical/>
        <horizontal/>
      </border>
      <protection locked="0" hidden="0"/>
    </dxf>
    <dxf>
      <border outline="0">
        <top style="medium">
          <color theme="3"/>
        </top>
      </border>
    </dxf>
    <dxf>
      <border outline="0">
        <bottom style="medium">
          <color theme="3"/>
        </bottom>
      </border>
    </dxf>
    <dxf>
      <border outline="0">
        <left style="medium">
          <color theme="3"/>
        </left>
        <right style="medium">
          <color theme="3"/>
        </right>
        <top style="medium">
          <color theme="3"/>
        </top>
        <bottom style="medium">
          <color theme="3"/>
        </bottom>
      </border>
    </dxf>
    <dxf>
      <font>
        <b/>
        <i val="0"/>
        <strike val="0"/>
        <condense val="0"/>
        <extend val="0"/>
        <outline val="0"/>
        <shadow val="0"/>
        <u val="none"/>
        <vertAlign val="baseline"/>
        <sz val="12"/>
        <color theme="3"/>
        <name val="Avenir Next LT Pro"/>
        <family val="2"/>
        <scheme val="minor"/>
      </font>
      <fill>
        <patternFill patternType="solid">
          <fgColor indexed="64"/>
          <bgColor theme="6" tint="0.79998168889431442"/>
        </patternFill>
      </fill>
      <alignment horizontal="center" vertical="center" textRotation="0" wrapText="1" indent="0" justifyLastLine="0" shrinkToFit="0" readingOrder="0"/>
      <border diagonalUp="0" diagonalDown="0" outline="0">
        <left style="medium">
          <color theme="3"/>
        </left>
        <right style="medium">
          <color theme="3"/>
        </right>
        <top/>
        <bottom/>
      </border>
      <protection locked="1" hidden="1"/>
    </dxf>
    <dxf>
      <font>
        <b/>
        <i val="0"/>
        <color auto="1"/>
      </font>
      <fill>
        <patternFill>
          <bgColor theme="4" tint="0.59996337778862885"/>
        </patternFill>
      </fill>
    </dxf>
    <dxf>
      <font>
        <b/>
        <i val="0"/>
        <color theme="1"/>
      </font>
      <fill>
        <patternFill>
          <bgColor theme="8" tint="0.59996337778862885"/>
        </patternFill>
      </fill>
    </dxf>
    <dxf>
      <font>
        <b/>
        <i val="0"/>
        <color auto="1"/>
      </font>
      <fill>
        <patternFill>
          <bgColor rgb="FFFFCDCD"/>
        </patternFill>
      </fill>
    </dxf>
    <dxf>
      <font>
        <b/>
        <i val="0"/>
        <color auto="1"/>
      </font>
      <fill>
        <patternFill>
          <bgColor theme="6" tint="0.79998168889431442"/>
        </patternFill>
      </fill>
    </dxf>
    <dxf>
      <font>
        <b/>
        <i val="0"/>
        <color theme="2" tint="-0.499984740745262"/>
      </font>
      <fill>
        <patternFill>
          <bgColor theme="4" tint="0.59996337778862885"/>
        </patternFill>
      </fill>
    </dxf>
    <dxf>
      <font>
        <b/>
        <i val="0"/>
        <color theme="2" tint="-0.499984740745262"/>
      </font>
      <fill>
        <patternFill>
          <bgColor theme="8" tint="0.59996337778862885"/>
        </patternFill>
      </fill>
    </dxf>
    <dxf>
      <font>
        <b/>
        <i val="0"/>
        <color theme="2" tint="-0.499984740745262"/>
      </font>
      <fill>
        <patternFill>
          <bgColor rgb="FFFFCDCD"/>
        </patternFill>
      </fill>
    </dxf>
    <dxf>
      <font>
        <b/>
        <i val="0"/>
        <color theme="2" tint="-0.499984740745262"/>
      </font>
      <fill>
        <patternFill>
          <bgColor theme="6" tint="0.79998168889431442"/>
        </patternFill>
      </fill>
    </dxf>
    <dxf>
      <fill>
        <patternFill>
          <bgColor theme="2" tint="0.79998168889431442"/>
        </patternFill>
      </fill>
    </dxf>
    <dxf>
      <fill>
        <patternFill>
          <bgColor theme="2" tint="0.79998168889431442"/>
        </patternFill>
      </fill>
    </dxf>
  </dxfs>
  <tableStyles count="0" defaultTableStyle="TableStyleMedium2" defaultPivotStyle="PivotStyleLight16"/>
  <colors>
    <mruColors>
      <color rgb="FFF5F9F9"/>
      <color rgb="FFFFFFE5"/>
      <color rgb="FFFAD766"/>
      <color rgb="FFFFDA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092638239141781E-2"/>
          <c:y val="3.2999994803150426E-2"/>
          <c:w val="0.87704493505459136"/>
          <c:h val="0.73830153727534853"/>
        </c:manualLayout>
      </c:layout>
      <c:barChart>
        <c:barDir val="col"/>
        <c:grouping val="clustered"/>
        <c:varyColors val="0"/>
        <c:ser>
          <c:idx val="0"/>
          <c:order val="0"/>
          <c:tx>
            <c:strRef>
              <c:f>'5. Reporting dashboard'!$C$26</c:f>
              <c:strCache>
                <c:ptCount val="1"/>
                <c:pt idx="0">
                  <c:v>VOLUME APPLIED OVER TIME</c:v>
                </c:pt>
              </c:strCache>
            </c:strRef>
          </c:tx>
          <c:spPr>
            <a:solidFill>
              <a:schemeClr val="accent1"/>
            </a:solidFill>
            <a:ln>
              <a:noFill/>
            </a:ln>
            <a:effectLst/>
          </c:spPr>
          <c:invertIfNegative val="0"/>
          <c:cat>
            <c:numRef>
              <c:f>'4. Application record'!$AB$6:$AB$255</c:f>
              <c:numCache>
                <c:formatCode>m/d/yyyy</c:formatCode>
                <c:ptCount val="250"/>
                <c:pt idx="0">
                  <c:v>0</c:v>
                </c:pt>
              </c:numCache>
            </c:numRef>
          </c:cat>
          <c:val>
            <c:numRef>
              <c:f>'4. Application record'!$AC$6:$AC$255</c:f>
              <c:numCache>
                <c:formatCode>General</c:formatCode>
                <c:ptCount val="250"/>
              </c:numCache>
            </c:numRef>
          </c:val>
          <c:extLst>
            <c:ext xmlns:c16="http://schemas.microsoft.com/office/drawing/2014/chart" uri="{C3380CC4-5D6E-409C-BE32-E72D297353CC}">
              <c16:uniqueId val="{00000000-8836-43D1-B276-EF11817160E0}"/>
            </c:ext>
          </c:extLst>
        </c:ser>
        <c:dLbls>
          <c:showLegendKey val="0"/>
          <c:showVal val="0"/>
          <c:showCatName val="0"/>
          <c:showSerName val="0"/>
          <c:showPercent val="0"/>
          <c:showBubbleSize val="0"/>
        </c:dLbls>
        <c:gapWidth val="219"/>
        <c:overlap val="-27"/>
        <c:axId val="1712028768"/>
        <c:axId val="1712029248"/>
      </c:barChart>
      <c:dateAx>
        <c:axId val="1712028768"/>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bg2">
                        <a:lumMod val="50000"/>
                      </a:schemeClr>
                    </a:solidFill>
                    <a:latin typeface="+mn-lt"/>
                    <a:ea typeface="+mn-ea"/>
                    <a:cs typeface="+mn-cs"/>
                  </a:defRPr>
                </a:pPr>
                <a:r>
                  <a:rPr lang="en-NZ" b="1">
                    <a:solidFill>
                      <a:schemeClr val="bg2">
                        <a:lumMod val="50000"/>
                      </a:schemeClr>
                    </a:solidFill>
                  </a:rPr>
                  <a:t>Application date</a:t>
                </a:r>
              </a:p>
            </c:rich>
          </c:tx>
          <c:layout>
            <c:manualLayout>
              <c:xMode val="edge"/>
              <c:yMode val="edge"/>
              <c:x val="0.42297913069679127"/>
              <c:y val="0.9518766320817873"/>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bg2">
                      <a:lumMod val="50000"/>
                    </a:schemeClr>
                  </a:solidFill>
                  <a:latin typeface="+mn-lt"/>
                  <a:ea typeface="+mn-ea"/>
                  <a:cs typeface="+mn-cs"/>
                </a:defRPr>
              </a:pPr>
              <a:endParaRPr lang="en-US"/>
            </a:p>
          </c:txPr>
        </c:title>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029248"/>
        <c:crosses val="autoZero"/>
        <c:auto val="0"/>
        <c:lblOffset val="100"/>
        <c:baseTimeUnit val="days"/>
      </c:dateAx>
      <c:valAx>
        <c:axId val="1712029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bg2">
                        <a:lumMod val="50000"/>
                      </a:schemeClr>
                    </a:solidFill>
                    <a:latin typeface="+mn-lt"/>
                    <a:ea typeface="+mn-ea"/>
                    <a:cs typeface="+mn-cs"/>
                  </a:defRPr>
                </a:pPr>
                <a:r>
                  <a:rPr lang="en-NZ" sz="1050" b="1">
                    <a:solidFill>
                      <a:schemeClr val="bg2">
                        <a:lumMod val="50000"/>
                      </a:schemeClr>
                    </a:solidFill>
                  </a:rPr>
                  <a:t>Volume of drain solution</a:t>
                </a:r>
                <a:r>
                  <a:rPr lang="en-NZ" sz="1050" b="1" baseline="0">
                    <a:solidFill>
                      <a:schemeClr val="bg2">
                        <a:lumMod val="50000"/>
                      </a:schemeClr>
                    </a:solidFill>
                  </a:rPr>
                  <a:t> applied (m</a:t>
                </a:r>
                <a:r>
                  <a:rPr lang="en-NZ" sz="1050" b="1" baseline="30000">
                    <a:solidFill>
                      <a:schemeClr val="bg2">
                        <a:lumMod val="50000"/>
                      </a:schemeClr>
                    </a:solidFill>
                  </a:rPr>
                  <a:t>3</a:t>
                </a:r>
                <a:r>
                  <a:rPr lang="en-NZ" sz="1050" b="1" baseline="0">
                    <a:solidFill>
                      <a:schemeClr val="bg2">
                        <a:lumMod val="50000"/>
                      </a:schemeClr>
                    </a:solidFill>
                  </a:rPr>
                  <a:t>)</a:t>
                </a:r>
                <a:endParaRPr lang="en-NZ" sz="1050" b="1">
                  <a:solidFill>
                    <a:schemeClr val="bg2">
                      <a:lumMod val="50000"/>
                    </a:schemeClr>
                  </a:solidFill>
                </a:endParaRPr>
              </a:p>
            </c:rich>
          </c:tx>
          <c:layout>
            <c:manualLayout>
              <c:xMode val="edge"/>
              <c:yMode val="edge"/>
              <c:x val="7.8245589118359875E-3"/>
              <c:y val="0.12661461904276497"/>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bg2">
                      <a:lumMod val="50000"/>
                    </a:schemeClr>
                  </a:solidFill>
                  <a:latin typeface="+mn-lt"/>
                  <a:ea typeface="+mn-ea"/>
                  <a:cs typeface="+mn-cs"/>
                </a:defRPr>
              </a:pPr>
              <a:endParaRPr lang="en-NZ"/>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712028768"/>
        <c:crosses val="autoZero"/>
        <c:crossBetween val="between"/>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Rainfall vs net rain</a:t>
            </a:r>
          </a:p>
        </c:rich>
      </c:tx>
      <c:layout>
        <c:manualLayout>
          <c:xMode val="edge"/>
          <c:yMode val="edge"/>
          <c:x val="0.39890966754155699"/>
          <c:y val="3.24073367648654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SheetData!$V$24</c:f>
              <c:strCache>
                <c:ptCount val="1"/>
                <c:pt idx="0">
                  <c:v>Net rainfall</c:v>
                </c:pt>
              </c:strCache>
            </c:strRef>
          </c:tx>
          <c:spPr>
            <a:ln w="25400" cap="rnd">
              <a:noFill/>
              <a:round/>
            </a:ln>
            <a:effectLst/>
          </c:spPr>
          <c:marker>
            <c:symbol val="circle"/>
            <c:size val="5"/>
            <c:spPr>
              <a:solidFill>
                <a:schemeClr val="accent1"/>
              </a:solidFill>
              <a:ln w="9525">
                <a:solidFill>
                  <a:schemeClr val="accent1"/>
                </a:solidFill>
              </a:ln>
              <a:effectLst/>
            </c:spPr>
          </c:marker>
          <c:xVal>
            <c:numRef>
              <c:f>SheetData!$T$25:$T$31</c:f>
              <c:numCache>
                <c:formatCode>General</c:formatCode>
                <c:ptCount val="7"/>
                <c:pt idx="0">
                  <c:v>1349</c:v>
                </c:pt>
                <c:pt idx="1">
                  <c:v>995</c:v>
                </c:pt>
                <c:pt idx="2">
                  <c:v>1010</c:v>
                </c:pt>
                <c:pt idx="3">
                  <c:v>798</c:v>
                </c:pt>
                <c:pt idx="4">
                  <c:v>986</c:v>
                </c:pt>
                <c:pt idx="5">
                  <c:v>616</c:v>
                </c:pt>
                <c:pt idx="6">
                  <c:v>691</c:v>
                </c:pt>
              </c:numCache>
            </c:numRef>
          </c:xVal>
          <c:yVal>
            <c:numRef>
              <c:f>SheetData!$V$25:$V$31</c:f>
              <c:numCache>
                <c:formatCode>General</c:formatCode>
                <c:ptCount val="7"/>
                <c:pt idx="0">
                  <c:v>459</c:v>
                </c:pt>
                <c:pt idx="1">
                  <c:v>258</c:v>
                </c:pt>
                <c:pt idx="2">
                  <c:v>289</c:v>
                </c:pt>
                <c:pt idx="3">
                  <c:v>206</c:v>
                </c:pt>
                <c:pt idx="4">
                  <c:v>235</c:v>
                </c:pt>
                <c:pt idx="5">
                  <c:v>167</c:v>
                </c:pt>
                <c:pt idx="6">
                  <c:v>123</c:v>
                </c:pt>
              </c:numCache>
            </c:numRef>
          </c:yVal>
          <c:smooth val="0"/>
          <c:extLst>
            <c:ext xmlns:c16="http://schemas.microsoft.com/office/drawing/2014/chart" uri="{C3380CC4-5D6E-409C-BE32-E72D297353CC}">
              <c16:uniqueId val="{00000000-CD00-4E50-BEC9-E63B098B8E9B}"/>
            </c:ext>
          </c:extLst>
        </c:ser>
        <c:dLbls>
          <c:showLegendKey val="0"/>
          <c:showVal val="0"/>
          <c:showCatName val="0"/>
          <c:showSerName val="0"/>
          <c:showPercent val="0"/>
          <c:showBubbleSize val="0"/>
        </c:dLbls>
        <c:axId val="1937643527"/>
        <c:axId val="1937649671"/>
      </c:scatterChart>
      <c:valAx>
        <c:axId val="193764352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7649671"/>
        <c:crosses val="autoZero"/>
        <c:crossBetween val="midCat"/>
      </c:valAx>
      <c:valAx>
        <c:axId val="19376496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37643527"/>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Winter rainfall</a:t>
            </a:r>
            <a:r>
              <a:rPr lang="en-NZ" baseline="0"/>
              <a:t> vs net winter rainfall</a:t>
            </a:r>
            <a:endParaRPr lang="en-NZ"/>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NZ"/>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SheetData!$W$25:$W$31</c:f>
              <c:numCache>
                <c:formatCode>General</c:formatCode>
                <c:ptCount val="7"/>
                <c:pt idx="0">
                  <c:v>422</c:v>
                </c:pt>
                <c:pt idx="1">
                  <c:v>275</c:v>
                </c:pt>
                <c:pt idx="2">
                  <c:v>326</c:v>
                </c:pt>
                <c:pt idx="3">
                  <c:v>261</c:v>
                </c:pt>
                <c:pt idx="4">
                  <c:v>267</c:v>
                </c:pt>
                <c:pt idx="5">
                  <c:v>187</c:v>
                </c:pt>
                <c:pt idx="6">
                  <c:v>156</c:v>
                </c:pt>
              </c:numCache>
            </c:numRef>
          </c:xVal>
          <c:yVal>
            <c:numRef>
              <c:f>SheetData!$X$25:$X$31</c:f>
              <c:numCache>
                <c:formatCode>General</c:formatCode>
                <c:ptCount val="7"/>
                <c:pt idx="0">
                  <c:v>286</c:v>
                </c:pt>
                <c:pt idx="1">
                  <c:v>184</c:v>
                </c:pt>
                <c:pt idx="2">
                  <c:v>216</c:v>
                </c:pt>
                <c:pt idx="3">
                  <c:v>171</c:v>
                </c:pt>
                <c:pt idx="4">
                  <c:v>160</c:v>
                </c:pt>
                <c:pt idx="5">
                  <c:v>114</c:v>
                </c:pt>
                <c:pt idx="6">
                  <c:v>86</c:v>
                </c:pt>
              </c:numCache>
            </c:numRef>
          </c:yVal>
          <c:smooth val="0"/>
          <c:extLst>
            <c:ext xmlns:c16="http://schemas.microsoft.com/office/drawing/2014/chart" uri="{C3380CC4-5D6E-409C-BE32-E72D297353CC}">
              <c16:uniqueId val="{00000000-D73A-441E-BAFB-AAF74211D0B0}"/>
            </c:ext>
          </c:extLst>
        </c:ser>
        <c:dLbls>
          <c:showLegendKey val="0"/>
          <c:showVal val="0"/>
          <c:showCatName val="0"/>
          <c:showSerName val="0"/>
          <c:showPercent val="0"/>
          <c:showBubbleSize val="0"/>
        </c:dLbls>
        <c:axId val="2031839751"/>
        <c:axId val="2031845895"/>
      </c:scatterChart>
      <c:valAx>
        <c:axId val="20318397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845895"/>
        <c:crosses val="autoZero"/>
        <c:crossBetween val="midCat"/>
      </c:valAx>
      <c:valAx>
        <c:axId val="20318458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839751"/>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NZ"/>
              <a:t>Rainfall and net winter rainfall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SheetData!$T$25:$T$31</c:f>
              <c:numCache>
                <c:formatCode>General</c:formatCode>
                <c:ptCount val="7"/>
                <c:pt idx="0">
                  <c:v>1349</c:v>
                </c:pt>
                <c:pt idx="1">
                  <c:v>995</c:v>
                </c:pt>
                <c:pt idx="2">
                  <c:v>1010</c:v>
                </c:pt>
                <c:pt idx="3">
                  <c:v>798</c:v>
                </c:pt>
                <c:pt idx="4">
                  <c:v>986</c:v>
                </c:pt>
                <c:pt idx="5">
                  <c:v>616</c:v>
                </c:pt>
                <c:pt idx="6">
                  <c:v>691</c:v>
                </c:pt>
              </c:numCache>
            </c:numRef>
          </c:xVal>
          <c:yVal>
            <c:numRef>
              <c:f>SheetData!$X$25:$X$31</c:f>
              <c:numCache>
                <c:formatCode>General</c:formatCode>
                <c:ptCount val="7"/>
                <c:pt idx="0">
                  <c:v>286</c:v>
                </c:pt>
                <c:pt idx="1">
                  <c:v>184</c:v>
                </c:pt>
                <c:pt idx="2">
                  <c:v>216</c:v>
                </c:pt>
                <c:pt idx="3">
                  <c:v>171</c:v>
                </c:pt>
                <c:pt idx="4">
                  <c:v>160</c:v>
                </c:pt>
                <c:pt idx="5">
                  <c:v>114</c:v>
                </c:pt>
                <c:pt idx="6">
                  <c:v>86</c:v>
                </c:pt>
              </c:numCache>
            </c:numRef>
          </c:yVal>
          <c:smooth val="0"/>
          <c:extLst>
            <c:ext xmlns:c16="http://schemas.microsoft.com/office/drawing/2014/chart" uri="{C3380CC4-5D6E-409C-BE32-E72D297353CC}">
              <c16:uniqueId val="{00000000-D285-42E5-B48D-33A136FE3FAC}"/>
            </c:ext>
          </c:extLst>
        </c:ser>
        <c:dLbls>
          <c:showLegendKey val="0"/>
          <c:showVal val="0"/>
          <c:showCatName val="0"/>
          <c:showSerName val="0"/>
          <c:showPercent val="0"/>
          <c:showBubbleSize val="0"/>
        </c:dLbls>
        <c:axId val="2140559879"/>
        <c:axId val="1727473159"/>
      </c:scatterChart>
      <c:valAx>
        <c:axId val="214055987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7473159"/>
        <c:crosses val="autoZero"/>
        <c:crossBetween val="midCat"/>
      </c:valAx>
      <c:valAx>
        <c:axId val="17274731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40559879"/>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93399</xdr:colOff>
      <xdr:row>17</xdr:row>
      <xdr:rowOff>77258</xdr:rowOff>
    </xdr:from>
    <xdr:to>
      <xdr:col>1</xdr:col>
      <xdr:colOff>2467471</xdr:colOff>
      <xdr:row>22</xdr:row>
      <xdr:rowOff>7158</xdr:rowOff>
    </xdr:to>
    <xdr:pic>
      <xdr:nvPicPr>
        <xdr:cNvPr id="2" name="Picture 1">
          <a:extLst>
            <a:ext uri="{FF2B5EF4-FFF2-40B4-BE49-F238E27FC236}">
              <a16:creationId xmlns:a16="http://schemas.microsoft.com/office/drawing/2014/main" id="{96657CDC-903A-429E-BA6B-A2E48528CF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732" y="8861425"/>
          <a:ext cx="2370897" cy="1006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2843741</xdr:colOff>
      <xdr:row>18</xdr:row>
      <xdr:rowOff>59268</xdr:rowOff>
    </xdr:from>
    <xdr:to>
      <xdr:col>4</xdr:col>
      <xdr:colOff>344624</xdr:colOff>
      <xdr:row>23</xdr:row>
      <xdr:rowOff>16237</xdr:rowOff>
    </xdr:to>
    <xdr:pic>
      <xdr:nvPicPr>
        <xdr:cNvPr id="3" name="Picture 2">
          <a:extLst>
            <a:ext uri="{FF2B5EF4-FFF2-40B4-BE49-F238E27FC236}">
              <a16:creationId xmlns:a16="http://schemas.microsoft.com/office/drawing/2014/main" id="{EAEAF272-F273-4BE2-B92B-00D7B84F1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0074" y="10811935"/>
          <a:ext cx="2019967" cy="1047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163792</xdr:colOff>
      <xdr:row>1</xdr:row>
      <xdr:rowOff>36478</xdr:rowOff>
    </xdr:from>
    <xdr:to>
      <xdr:col>14</xdr:col>
      <xdr:colOff>47077</xdr:colOff>
      <xdr:row>9</xdr:row>
      <xdr:rowOff>178594</xdr:rowOff>
    </xdr:to>
    <xdr:pic>
      <xdr:nvPicPr>
        <xdr:cNvPr id="2" name="Picture 1">
          <a:extLst>
            <a:ext uri="{FF2B5EF4-FFF2-40B4-BE49-F238E27FC236}">
              <a16:creationId xmlns:a16="http://schemas.microsoft.com/office/drawing/2014/main" id="{C5919189-EC7F-FC11-0225-7ECD86328130}"/>
            </a:ext>
          </a:extLst>
        </xdr:cNvPr>
        <xdr:cNvPicPr>
          <a:picLocks noChangeAspect="1"/>
        </xdr:cNvPicPr>
      </xdr:nvPicPr>
      <xdr:blipFill>
        <a:blip xmlns:r="http://schemas.openxmlformats.org/officeDocument/2006/relationships" r:embed="rId1"/>
        <a:stretch>
          <a:fillRect/>
        </a:stretch>
      </xdr:blipFill>
      <xdr:spPr>
        <a:xfrm>
          <a:off x="14665605" y="619884"/>
          <a:ext cx="5836410" cy="4190241"/>
        </a:xfrm>
        <a:prstGeom prst="rect">
          <a:avLst/>
        </a:prstGeom>
      </xdr:spPr>
    </xdr:pic>
    <xdr:clientData/>
  </xdr:twoCellAnchor>
  <xdr:twoCellAnchor>
    <xdr:from>
      <xdr:col>6</xdr:col>
      <xdr:colOff>198470</xdr:colOff>
      <xdr:row>0</xdr:row>
      <xdr:rowOff>164043</xdr:rowOff>
    </xdr:from>
    <xdr:to>
      <xdr:col>13</xdr:col>
      <xdr:colOff>709083</xdr:colOff>
      <xdr:row>0</xdr:row>
      <xdr:rowOff>476251</xdr:rowOff>
    </xdr:to>
    <xdr:sp macro="" textlink="">
      <xdr:nvSpPr>
        <xdr:cNvPr id="3" name="TextBox 2">
          <a:extLst>
            <a:ext uri="{FF2B5EF4-FFF2-40B4-BE49-F238E27FC236}">
              <a16:creationId xmlns:a16="http://schemas.microsoft.com/office/drawing/2014/main" id="{CE1D5964-583D-3988-762A-AAE7BA528F38}"/>
            </a:ext>
          </a:extLst>
        </xdr:cNvPr>
        <xdr:cNvSpPr txBox="1"/>
      </xdr:nvSpPr>
      <xdr:spPr>
        <a:xfrm>
          <a:off x="14665887" y="164043"/>
          <a:ext cx="5717613" cy="312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NZ" sz="1400" b="1">
              <a:solidFill>
                <a:schemeClr val="tx2"/>
              </a:solidFill>
            </a:rPr>
            <a:t>EXAMPLE SYSTEM</a:t>
          </a:r>
          <a:r>
            <a:rPr lang="en-NZ" sz="1400" b="1" baseline="0">
              <a:solidFill>
                <a:schemeClr val="tx2"/>
              </a:solidFill>
            </a:rPr>
            <a:t> DIAGRAM</a:t>
          </a:r>
          <a:endParaRPr lang="en-NZ" sz="1400" b="1">
            <a:solidFill>
              <a:schemeClr val="tx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60324</xdr:colOff>
      <xdr:row>27</xdr:row>
      <xdr:rowOff>7408</xdr:rowOff>
    </xdr:from>
    <xdr:to>
      <xdr:col>11</xdr:col>
      <xdr:colOff>1206500</xdr:colOff>
      <xdr:row>37</xdr:row>
      <xdr:rowOff>102659</xdr:rowOff>
    </xdr:to>
    <xdr:graphicFrame macro="">
      <xdr:nvGraphicFramePr>
        <xdr:cNvPr id="22" name="Chart 6">
          <a:extLst>
            <a:ext uri="{FF2B5EF4-FFF2-40B4-BE49-F238E27FC236}">
              <a16:creationId xmlns:a16="http://schemas.microsoft.com/office/drawing/2014/main" id="{13956171-4FE8-4BFB-AE84-48723DC60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32</xdr:col>
      <xdr:colOff>266700</xdr:colOff>
      <xdr:row>23</xdr:row>
      <xdr:rowOff>114300</xdr:rowOff>
    </xdr:from>
    <xdr:to>
      <xdr:col>38</xdr:col>
      <xdr:colOff>266700</xdr:colOff>
      <xdr:row>38</xdr:row>
      <xdr:rowOff>0</xdr:rowOff>
    </xdr:to>
    <xdr:graphicFrame macro="">
      <xdr:nvGraphicFramePr>
        <xdr:cNvPr id="3" name="Chart 2">
          <a:extLst>
            <a:ext uri="{FF2B5EF4-FFF2-40B4-BE49-F238E27FC236}">
              <a16:creationId xmlns:a16="http://schemas.microsoft.com/office/drawing/2014/main" id="{17050F49-2824-F029-60C4-D3CF8C00DA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511175</xdr:colOff>
      <xdr:row>23</xdr:row>
      <xdr:rowOff>111125</xdr:rowOff>
    </xdr:from>
    <xdr:to>
      <xdr:col>44</xdr:col>
      <xdr:colOff>511175</xdr:colOff>
      <xdr:row>37</xdr:row>
      <xdr:rowOff>177800</xdr:rowOff>
    </xdr:to>
    <xdr:graphicFrame macro="">
      <xdr:nvGraphicFramePr>
        <xdr:cNvPr id="4" name="Chart 3">
          <a:extLst>
            <a:ext uri="{FF2B5EF4-FFF2-40B4-BE49-F238E27FC236}">
              <a16:creationId xmlns:a16="http://schemas.microsoft.com/office/drawing/2014/main" id="{D7FB6F59-96F0-52FB-4855-06202F53277A}"/>
            </a:ext>
            <a:ext uri="{147F2762-F138-4A5C-976F-8EAC2B608ADB}">
              <a16:predDERef xmlns:a16="http://schemas.microsoft.com/office/drawing/2014/main" pred="{17050F49-2824-F029-60C4-D3CF8C00DA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45</xdr:col>
      <xdr:colOff>9525</xdr:colOff>
      <xdr:row>23</xdr:row>
      <xdr:rowOff>101600</xdr:rowOff>
    </xdr:from>
    <xdr:to>
      <xdr:col>51</xdr:col>
      <xdr:colOff>9525</xdr:colOff>
      <xdr:row>38</xdr:row>
      <xdr:rowOff>0</xdr:rowOff>
    </xdr:to>
    <xdr:graphicFrame macro="">
      <xdr:nvGraphicFramePr>
        <xdr:cNvPr id="5" name="Chart 4">
          <a:extLst>
            <a:ext uri="{FF2B5EF4-FFF2-40B4-BE49-F238E27FC236}">
              <a16:creationId xmlns:a16="http://schemas.microsoft.com/office/drawing/2014/main" id="{28949871-88BB-8116-72DB-5FEBBE0015A6}"/>
            </a:ext>
            <a:ext uri="{147F2762-F138-4A5C-976F-8EAC2B608ADB}">
              <a16:predDERef xmlns:a16="http://schemas.microsoft.com/office/drawing/2014/main" pred="{D7FB6F59-96F0-52FB-4855-06202F5327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3A1CF8-BD95-4AFB-9226-C20CDF5FFC02}" name="Blocks" displayName="Blocks" ref="G6:J31" totalsRowShown="0" headerRowDxfId="42" headerRowBorderDxfId="40" tableBorderDxfId="41" totalsRowBorderDxfId="39">
  <autoFilter ref="G6:J31" xr:uid="{683A1CF8-BD95-4AFB-9226-C20CDF5FFC02}">
    <filterColumn colId="0" hiddenButton="1"/>
    <filterColumn colId="1" hiddenButton="1"/>
    <filterColumn colId="2" hiddenButton="1"/>
    <filterColumn colId="3" hiddenButton="1"/>
  </autoFilter>
  <tableColumns count="4">
    <tableColumn id="1" xr3:uid="{CD9D614F-77BA-439C-B40F-BB9E525F28F6}" name="Block ID" dataDxfId="38"/>
    <tableColumn id="2" xr3:uid="{F6A83EB8-BF8E-499D-A235-8C0EC6DFECD9}" name="Area (ha)" dataDxfId="37"/>
    <tableColumn id="3" xr3:uid="{9C8F67C5-B07E-4C78-941C-F4D74499BC1D}" name="Soil type" dataDxfId="36"/>
    <tableColumn id="4" xr3:uid="{2F60CF4F-4FAA-4A9D-92F5-274A6B5731DB}" name="Ground cover or crop" dataDxfId="3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5E7759-8B21-424E-8545-80296989B9FA}" name="Applications" displayName="Applications" ref="B5:S305" totalsRowShown="0" headerRowDxfId="33" tableBorderDxfId="32">
  <autoFilter ref="B5:S305" xr:uid="{4A5E7759-8B21-424E-8545-80296989B9F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8BA394A4-E631-4E22-A0EA-6AAF4632DA25}" name="No." dataDxfId="31"/>
    <tableColumn id="2" xr3:uid="{C7F9051C-46FA-4F3A-B0C3-99E7844DC2CF}" name="Date" dataDxfId="30"/>
    <tableColumn id="3" xr3:uid="{63122D15-5FE9-41BD-A0BD-1A8FD749EFD7}" name="Block ID" dataDxfId="29"/>
    <tableColumn id="18" xr3:uid="{B6133C0F-B6BF-423A-B597-1BD5E8E9D48C}" name="Application area_x000a_(ha)" dataDxfId="28">
      <calculatedColumnFormula>IF(Applications[[#This Row],[Block ID]]="","",(_xlfn.XLOOKUP(Applications[[#This Row],[Block ID]],Blocks[Block ID],Blocks[Area (ha)],"")))</calculatedColumnFormula>
    </tableColumn>
    <tableColumn id="4" xr3:uid="{58C9D4CA-E42E-4606-B662-846C1D3D1BAB}" name="Drain solution available to apply (m3)" dataDxfId="27"/>
    <tableColumn id="6" xr3:uid="{B63C22D4-7AFF-46B4-B18B-6CBBFE516C71}" name="Application depth_x000a_(mm)" dataDxfId="26">
      <calculatedColumnFormula>IFERROR((IF(F6="","",((F6*1000)/(E6*10000)))),"")</calculatedColumnFormula>
    </tableColumn>
    <tableColumn id="7" xr3:uid="{7F9AB43B-0953-4455-8359-C96D2415FE84}" name="Current land use and ground cover_x000a_e.g. stock on permanent pasture" dataDxfId="25"/>
    <tableColumn id="8" xr3:uid="{0E6EC31B-3FDB-48F3-905C-774B6C6BF1C6}" name="Have you conducted a pre-application check?_x000a_(Section 5.1 in the COP)" dataDxfId="24"/>
    <tableColumn id="11" xr3:uid="{8BF02ABD-D7F0-45AA-9500-9F8D3BFA7B2C}" name="Soil moisture_x000a_deficit_x000a_(mm)_x000a_Optional" dataDxfId="23"/>
    <tableColumn id="14" xr3:uid="{166568F6-3B45-447F-966A-C1491CCA820A}" name="Column1" dataDxfId="22"/>
    <tableColumn id="15" xr3:uid="{896C7381-6EE6-4CD6-BD3D-A3BDE1B02FAC}" name="Volume of solution applied_x000a_(m3)" dataDxfId="21"/>
    <tableColumn id="16" xr3:uid="{56360C34-C2E0-4D2B-9A6A-584C10102682}" name="Nitrogen concentration in drain solution_x000a_ (ppm or mg/L)" dataDxfId="20"/>
    <tableColumn id="17" xr3:uid="{1772F7C4-3940-4CEE-91E7-9197B6CD5A4B}" name="Nitrogen application rate_x000a_(kg N/ha)" dataDxfId="19">
      <calculatedColumnFormula>IFERROR((L6*M6/1000/E6),"")</calculatedColumnFormula>
    </tableColumn>
    <tableColumn id="19" xr3:uid="{8FFD5A17-B2C6-4E9B-BF89-453D0F35D24C}" name="kgN" dataDxfId="18">
      <calculatedColumnFormula>Applications[[#This Row],[Nitrogen concentration in drain solution
 (ppm or mg/L)]]*Applications[[#This Row],[Volume of solution applied
(m3)]]/1000</calculatedColumnFormula>
    </tableColumn>
    <tableColumn id="25" xr3:uid="{82B3B678-59C7-4E4A-8F3D-02A9D303236C}" name="Phosphorus concentration in drain solution_x000a_(ppm or mg/L)" dataDxfId="17"/>
    <tableColumn id="23" xr3:uid="{56E07086-6FD1-44C6-B598-680E8A17B1DA}" name="Phosphorus application rate_x000a_(kg P/ha)" dataDxfId="16">
      <calculatedColumnFormula>IFERROR((L6*P6/1000/E6),"")</calculatedColumnFormula>
    </tableColumn>
    <tableColumn id="21" xr3:uid="{9063AAEC-3501-4C68-9289-961095D6E3DB}" name="kgP" dataDxfId="15">
      <calculatedColumnFormula>Applications[[#This Row],[Phosphorus concentration in drain solution
(ppm or mg/L)]]*Applications[[#This Row],[Volume of solution applied
(m3)]]/1000</calculatedColumnFormula>
    </tableColumn>
    <tableColumn id="20" xr3:uid="{C837F67F-EE75-4B8D-96B6-9D93FB189D82}" name="Notes" dataDxfId="14"/>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7188D6-731B-4B01-B6D0-B30DBDC42149}" name="TableActionPlan3" displayName="TableActionPlan3" ref="B4:J29" totalsRowShown="0" headerRowDxfId="13" dataDxfId="12" headerRowBorderDxfId="10" tableBorderDxfId="11" totalsRowBorderDxfId="9">
  <autoFilter ref="B4:J29" xr:uid="{167188D6-731B-4B01-B6D0-B30DBDC42149}"/>
  <tableColumns count="9">
    <tableColumn id="11" xr3:uid="{5E104FD6-6C9D-46AC-AF7B-CDE838722BA4}" name="No." dataDxfId="8"/>
    <tableColumn id="2" xr3:uid="{127C9868-39BB-4E20-B5C0-39ADBA94FE43}" name="Category / management area" dataDxfId="7"/>
    <tableColumn id="4" xr3:uid="{02375B41-3019-4F42-8A84-F97BC0C0A7BA}" name="Action to be completed_x000a_(incl. frequency)" dataDxfId="6"/>
    <tableColumn id="5" xr3:uid="{02EF1C31-E893-41B9-935A-3929F506940A}" name="Location" dataDxfId="5"/>
    <tableColumn id="6" xr3:uid="{82F208AD-938B-474D-AA73-904C88B2F7F3}" name="Existing or new action" dataDxfId="4"/>
    <tableColumn id="7" xr3:uid="{6EA7A587-C5E7-48F1-9F39-71A92E3D2909}" name="Person responsible" dataDxfId="3"/>
    <tableColumn id="8" xr3:uid="{7EC519F0-2735-4213-9E3C-3716F13E2E34}" name="Expected date of completion" dataDxfId="2"/>
    <tableColumn id="9" xr3:uid="{21AFAD0B-7036-4D8B-885D-D9B4AC5E1F70}" name="Actual date of completion" dataDxfId="1"/>
    <tableColumn id="10" xr3:uid="{E3912B3A-92C4-4C0F-9418-EBA480FBA433}" name="Evidence and supporting commen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HortNZ colours">
      <a:dk1>
        <a:sysClr val="windowText" lastClr="000000"/>
      </a:dk1>
      <a:lt1>
        <a:sysClr val="window" lastClr="FFFFFF"/>
      </a:lt1>
      <a:dk2>
        <a:srgbClr val="005455"/>
      </a:dk2>
      <a:lt2>
        <a:srgbClr val="4B877A"/>
      </a:lt2>
      <a:accent1>
        <a:srgbClr val="7FC241"/>
      </a:accent1>
      <a:accent2>
        <a:srgbClr val="2EB569"/>
      </a:accent2>
      <a:accent3>
        <a:srgbClr val="77B0AA"/>
      </a:accent3>
      <a:accent4>
        <a:srgbClr val="3EC1CF"/>
      </a:accent4>
      <a:accent5>
        <a:srgbClr val="F1613B"/>
      </a:accent5>
      <a:accent6>
        <a:srgbClr val="006E8C"/>
      </a:accent6>
      <a:hlink>
        <a:srgbClr val="97A2AD"/>
      </a:hlink>
      <a:folHlink>
        <a:srgbClr val="96607D"/>
      </a:folHlink>
    </a:clrScheme>
    <a:fontScheme name="HortNZ">
      <a:majorFont>
        <a:latin typeface="Avenir Next LT Pro"/>
        <a:ea typeface=""/>
        <a:cs typeface=""/>
      </a:majorFont>
      <a:minorFont>
        <a:latin typeface="Avenir Next L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16265-CE78-4DDA-A2A9-6FB615738D5C}">
  <sheetPr codeName="Sheet1">
    <tabColor theme="2"/>
    <pageSetUpPr fitToPage="1"/>
  </sheetPr>
  <dimension ref="B1:O22"/>
  <sheetViews>
    <sheetView showGridLines="0" tabSelected="1" zoomScale="80" zoomScaleNormal="80" zoomScalePageLayoutView="90" workbookViewId="0"/>
  </sheetViews>
  <sheetFormatPr defaultColWidth="9.21875" defaultRowHeight="14.45"/>
  <cols>
    <col min="1" max="1" width="3.5546875" style="18" customWidth="1"/>
    <col min="2" max="2" width="36.21875" style="18" customWidth="1"/>
    <col min="3" max="12" width="9.21875" style="18"/>
    <col min="13" max="15" width="4.44140625" style="18" customWidth="1"/>
    <col min="16" max="16384" width="9.21875" style="18"/>
  </cols>
  <sheetData>
    <row r="1" spans="2:15" s="29" customFormat="1" ht="46.15" customHeight="1">
      <c r="B1" s="225" t="s">
        <v>0</v>
      </c>
      <c r="C1" s="225"/>
      <c r="D1" s="225"/>
      <c r="E1" s="225"/>
      <c r="F1" s="225"/>
      <c r="G1" s="225"/>
      <c r="H1" s="225"/>
      <c r="I1" s="225"/>
      <c r="J1" s="225"/>
      <c r="K1" s="225"/>
      <c r="L1" s="225"/>
      <c r="M1" s="225"/>
      <c r="N1" s="225"/>
      <c r="O1" s="225"/>
    </row>
    <row r="2" spans="2:15" s="29" customFormat="1" ht="11.65" customHeight="1">
      <c r="B2" s="82"/>
      <c r="C2" s="82"/>
      <c r="D2" s="82"/>
      <c r="E2" s="82"/>
      <c r="F2" s="82"/>
      <c r="G2" s="82"/>
      <c r="H2" s="82"/>
      <c r="I2" s="82"/>
      <c r="J2" s="82"/>
      <c r="K2" s="82"/>
      <c r="L2" s="82"/>
      <c r="M2" s="82"/>
      <c r="N2" s="82"/>
      <c r="O2" s="82"/>
    </row>
    <row r="3" spans="2:15" ht="402" customHeight="1" thickBot="1">
      <c r="B3" s="226" t="s">
        <v>1</v>
      </c>
      <c r="C3" s="226"/>
      <c r="D3" s="226"/>
      <c r="E3" s="226"/>
      <c r="F3" s="226"/>
      <c r="G3" s="226"/>
      <c r="H3" s="226"/>
      <c r="I3" s="226"/>
      <c r="J3" s="226"/>
      <c r="K3" s="226"/>
      <c r="L3" s="226"/>
      <c r="M3" s="226"/>
      <c r="N3" s="226"/>
      <c r="O3" s="226"/>
    </row>
    <row r="4" spans="2:15" s="196" customFormat="1" ht="34.5" customHeight="1" thickBot="1">
      <c r="B4" s="229" t="s">
        <v>2</v>
      </c>
      <c r="C4" s="230"/>
      <c r="D4" s="231"/>
      <c r="E4" s="13"/>
      <c r="F4" s="13"/>
      <c r="G4" s="13"/>
      <c r="H4" s="13"/>
      <c r="I4" s="13"/>
      <c r="J4" s="13"/>
      <c r="K4" s="13"/>
      <c r="L4" s="13"/>
      <c r="M4" s="13"/>
      <c r="N4" s="13"/>
      <c r="O4" s="13"/>
    </row>
    <row r="5" spans="2:15" s="197" customFormat="1" ht="15" customHeight="1">
      <c r="C5" s="16"/>
      <c r="D5" s="16"/>
      <c r="E5" s="16"/>
      <c r="F5" s="16"/>
      <c r="G5" s="16"/>
      <c r="H5" s="16"/>
      <c r="I5" s="16"/>
      <c r="J5" s="16"/>
      <c r="K5" s="16"/>
      <c r="L5" s="16"/>
      <c r="M5" s="16"/>
      <c r="N5" s="16"/>
      <c r="O5" s="16"/>
    </row>
    <row r="6" spans="2:15" ht="27" customHeight="1" thickBot="1">
      <c r="B6" s="227" t="s">
        <v>3</v>
      </c>
      <c r="C6" s="227"/>
      <c r="D6" s="227"/>
      <c r="E6" s="227"/>
      <c r="F6" s="227"/>
      <c r="G6" s="227"/>
      <c r="H6" s="227"/>
      <c r="I6" s="227"/>
      <c r="J6" s="227"/>
      <c r="K6" s="227"/>
      <c r="L6" s="227"/>
      <c r="M6" s="227"/>
      <c r="N6" s="227"/>
      <c r="O6" s="227"/>
    </row>
    <row r="7" spans="2:15" ht="10.15" customHeight="1" thickBot="1">
      <c r="B7" s="17"/>
      <c r="C7" s="17"/>
      <c r="D7" s="17"/>
      <c r="E7" s="17"/>
      <c r="F7" s="17"/>
      <c r="G7" s="17"/>
      <c r="H7" s="17"/>
      <c r="I7" s="17"/>
      <c r="J7" s="17"/>
      <c r="K7" s="17"/>
      <c r="L7" s="17"/>
      <c r="M7" s="12"/>
      <c r="N7" s="12"/>
      <c r="O7" s="12"/>
    </row>
    <row r="8" spans="2:15" ht="29.65" customHeight="1" thickBot="1">
      <c r="B8" s="80" t="s">
        <v>4</v>
      </c>
      <c r="C8" s="228" t="s">
        <v>5</v>
      </c>
      <c r="D8" s="228"/>
      <c r="E8" s="228"/>
      <c r="F8" s="228"/>
      <c r="G8" s="228"/>
      <c r="H8" s="228"/>
      <c r="I8" s="228"/>
      <c r="J8" s="228"/>
      <c r="K8" s="228"/>
      <c r="L8" s="228"/>
      <c r="M8" s="228"/>
      <c r="N8" s="228"/>
      <c r="O8" s="228"/>
    </row>
    <row r="9" spans="2:15" ht="29.65" customHeight="1" thickBot="1">
      <c r="B9" s="81" t="s">
        <v>6</v>
      </c>
      <c r="C9" s="228" t="s">
        <v>7</v>
      </c>
      <c r="D9" s="228"/>
      <c r="E9" s="228"/>
      <c r="F9" s="228"/>
      <c r="G9" s="228"/>
      <c r="H9" s="228"/>
      <c r="I9" s="228"/>
      <c r="J9" s="228"/>
      <c r="K9" s="228"/>
      <c r="L9" s="228"/>
      <c r="M9" s="228"/>
      <c r="N9" s="228"/>
      <c r="O9" s="228"/>
    </row>
    <row r="10" spans="2:15" ht="29.65" customHeight="1" thickBot="1">
      <c r="B10" s="81" t="s">
        <v>8</v>
      </c>
      <c r="C10" s="222" t="s">
        <v>9</v>
      </c>
      <c r="D10" s="223"/>
      <c r="E10" s="223"/>
      <c r="F10" s="223"/>
      <c r="G10" s="223"/>
      <c r="H10" s="223"/>
      <c r="I10" s="223"/>
      <c r="J10" s="223"/>
      <c r="K10" s="223"/>
      <c r="L10" s="223"/>
      <c r="M10" s="223"/>
      <c r="N10" s="223"/>
      <c r="O10" s="224"/>
    </row>
    <row r="11" spans="2:15" ht="29.65" customHeight="1" thickBot="1">
      <c r="B11" s="81" t="s">
        <v>10</v>
      </c>
      <c r="C11" s="222" t="s">
        <v>11</v>
      </c>
      <c r="D11" s="223"/>
      <c r="E11" s="223"/>
      <c r="F11" s="223"/>
      <c r="G11" s="223"/>
      <c r="H11" s="223"/>
      <c r="I11" s="223"/>
      <c r="J11" s="223"/>
      <c r="K11" s="223"/>
      <c r="L11" s="223"/>
      <c r="M11" s="223"/>
      <c r="N11" s="223"/>
      <c r="O11" s="224"/>
    </row>
    <row r="12" spans="2:15" ht="29.65" customHeight="1" thickBot="1">
      <c r="B12" s="81" t="s">
        <v>12</v>
      </c>
      <c r="C12" s="222" t="s">
        <v>13</v>
      </c>
      <c r="D12" s="223"/>
      <c r="E12" s="223"/>
      <c r="F12" s="223"/>
      <c r="G12" s="223"/>
      <c r="H12" s="223"/>
      <c r="I12" s="223"/>
      <c r="J12" s="223"/>
      <c r="K12" s="223"/>
      <c r="L12" s="223"/>
      <c r="M12" s="223"/>
      <c r="N12" s="223"/>
      <c r="O12" s="224"/>
    </row>
    <row r="13" spans="2:15" ht="29.65" customHeight="1" thickBot="1">
      <c r="B13" s="79" t="s">
        <v>14</v>
      </c>
      <c r="C13" s="222" t="s">
        <v>15</v>
      </c>
      <c r="D13" s="223"/>
      <c r="E13" s="223"/>
      <c r="F13" s="223"/>
      <c r="G13" s="223"/>
      <c r="H13" s="223"/>
      <c r="I13" s="223"/>
      <c r="J13" s="223"/>
      <c r="K13" s="223"/>
      <c r="L13" s="223"/>
      <c r="M13" s="223"/>
      <c r="N13" s="223"/>
      <c r="O13" s="224"/>
    </row>
    <row r="14" spans="2:15" ht="29.65" customHeight="1" thickBot="1">
      <c r="B14" s="108" t="s">
        <v>16</v>
      </c>
      <c r="C14" s="222" t="s">
        <v>17</v>
      </c>
      <c r="D14" s="223"/>
      <c r="E14" s="223"/>
      <c r="F14" s="223"/>
      <c r="G14" s="223"/>
      <c r="H14" s="223"/>
      <c r="I14" s="223"/>
      <c r="J14" s="223"/>
      <c r="K14" s="223"/>
      <c r="L14" s="223"/>
      <c r="M14" s="223"/>
      <c r="N14" s="223"/>
      <c r="O14" s="224"/>
    </row>
    <row r="15" spans="2:15" ht="29.65" customHeight="1" thickBot="1">
      <c r="B15" s="78" t="s">
        <v>18</v>
      </c>
      <c r="C15" s="228" t="s">
        <v>19</v>
      </c>
      <c r="D15" s="228"/>
      <c r="E15" s="228"/>
      <c r="F15" s="228"/>
      <c r="G15" s="228"/>
      <c r="H15" s="228"/>
      <c r="I15" s="228"/>
      <c r="J15" s="228"/>
      <c r="K15" s="228"/>
      <c r="L15" s="228"/>
      <c r="M15" s="228"/>
      <c r="N15" s="228"/>
      <c r="O15" s="228"/>
    </row>
    <row r="16" spans="2:15" ht="10.5" customHeight="1">
      <c r="B16" s="12"/>
      <c r="C16" s="12"/>
      <c r="D16" s="12"/>
      <c r="E16" s="12"/>
      <c r="F16" s="12"/>
      <c r="G16" s="12"/>
      <c r="H16" s="12"/>
      <c r="I16" s="12"/>
      <c r="J16" s="12"/>
      <c r="K16" s="12"/>
      <c r="L16" s="12"/>
      <c r="M16" s="12"/>
      <c r="N16" s="12"/>
      <c r="O16" s="12"/>
    </row>
    <row r="17" spans="2:15" ht="100.5" customHeight="1">
      <c r="B17" s="235" t="s">
        <v>20</v>
      </c>
      <c r="C17" s="235"/>
      <c r="D17" s="235"/>
      <c r="E17" s="235"/>
      <c r="F17" s="235"/>
      <c r="G17" s="235"/>
      <c r="H17" s="235"/>
      <c r="I17" s="235"/>
      <c r="J17" s="235"/>
      <c r="K17" s="235"/>
      <c r="L17" s="235"/>
      <c r="M17" s="235"/>
      <c r="N17" s="235"/>
      <c r="O17" s="235"/>
    </row>
    <row r="18" spans="2:15">
      <c r="B18" s="12"/>
      <c r="C18" s="12"/>
      <c r="D18" s="12"/>
      <c r="E18" s="12"/>
      <c r="F18" s="12"/>
      <c r="G18" s="12"/>
      <c r="H18" s="12"/>
      <c r="I18" s="12"/>
      <c r="J18" s="12"/>
      <c r="K18" s="12"/>
      <c r="L18" s="12"/>
      <c r="M18" s="12"/>
      <c r="N18" s="12"/>
      <c r="O18" s="12"/>
    </row>
    <row r="19" spans="2:15">
      <c r="B19" s="12"/>
      <c r="C19" s="12"/>
      <c r="D19" s="12"/>
      <c r="E19" s="12"/>
      <c r="F19" s="12"/>
      <c r="G19" s="12"/>
      <c r="H19" s="12"/>
      <c r="I19" s="12"/>
      <c r="J19" s="12"/>
      <c r="K19" s="12"/>
      <c r="L19" s="12"/>
      <c r="M19" s="12"/>
      <c r="N19" s="12"/>
      <c r="O19" s="12"/>
    </row>
    <row r="20" spans="2:15" ht="18.75" customHeight="1">
      <c r="B20" s="12"/>
      <c r="C20" s="12"/>
      <c r="D20" s="12"/>
      <c r="E20" s="12"/>
      <c r="F20" s="232" t="s">
        <v>21</v>
      </c>
      <c r="G20" s="232"/>
      <c r="H20" s="234">
        <v>2</v>
      </c>
      <c r="I20" s="234"/>
      <c r="J20" s="12"/>
      <c r="K20" s="12"/>
      <c r="L20" s="12"/>
      <c r="M20" s="12"/>
      <c r="N20" s="12"/>
      <c r="O20" s="12"/>
    </row>
    <row r="21" spans="2:15" ht="18.75" customHeight="1">
      <c r="F21" s="232" t="s">
        <v>22</v>
      </c>
      <c r="G21" s="232"/>
      <c r="H21" s="233">
        <v>46196</v>
      </c>
      <c r="I21" s="233"/>
    </row>
    <row r="22" spans="2:15" ht="18.75" customHeight="1">
      <c r="F22" s="232" t="s">
        <v>23</v>
      </c>
      <c r="G22" s="232"/>
      <c r="H22" s="233">
        <v>46357</v>
      </c>
      <c r="I22" s="233"/>
    </row>
  </sheetData>
  <sheetProtection algorithmName="SHA-512" hashValue="m94c/FvcV4D8EN0NJFMP2SoM9qcyld9O4/+WfPgkBuwVPV5xVdjyzngun53hZLK5xkj58CANmx2FCRjihibxtg==" saltValue="GKSY09CTs8pocpe23Zd62Q==" spinCount="100000" sheet="1" objects="1" scenarios="1"/>
  <mergeCells count="19">
    <mergeCell ref="F22:G22"/>
    <mergeCell ref="H22:I22"/>
    <mergeCell ref="C12:O12"/>
    <mergeCell ref="C13:O13"/>
    <mergeCell ref="C14:O14"/>
    <mergeCell ref="C15:O15"/>
    <mergeCell ref="F20:G20"/>
    <mergeCell ref="H20:I20"/>
    <mergeCell ref="F21:G21"/>
    <mergeCell ref="H21:I21"/>
    <mergeCell ref="B17:O17"/>
    <mergeCell ref="C11:O11"/>
    <mergeCell ref="C10:O10"/>
    <mergeCell ref="B1:O1"/>
    <mergeCell ref="B3:O3"/>
    <mergeCell ref="B6:O6"/>
    <mergeCell ref="C8:O8"/>
    <mergeCell ref="C9:O9"/>
    <mergeCell ref="B4:D4"/>
  </mergeCells>
  <conditionalFormatting sqref="B4">
    <cfRule type="expression" dxfId="52" priority="11">
      <formula>#REF!="N/A"</formula>
    </cfRule>
    <cfRule type="expression" dxfId="51" priority="12">
      <formula>#REF!="YES"</formula>
    </cfRule>
  </conditionalFormatting>
  <hyperlinks>
    <hyperlink ref="B8" location="Calculator!A1" display="Calculator" xr:uid="{D1FE08DB-29EA-4659-BAE7-AC58C892446B}"/>
    <hyperlink ref="B15" location="'Maintenance record'!A1" display="Maintenance record" xr:uid="{31CEA6CD-9F3E-4278-8EE7-83411CAAA6DA}"/>
    <hyperlink ref="B14" location="'6. Other actions'!A1" display="6. Other actions" xr:uid="{63EFF972-B40B-44FE-A9BB-444326E1793A}"/>
    <hyperlink ref="B13" location="'5. Reporting dashboard'!A1" display="5. Reporting dashboard" xr:uid="{42F8379A-EC45-4E57-90A6-8F715A9C5779}"/>
    <hyperlink ref="B12" location="'4. Application record'!A1" display="4. Application record" xr:uid="{D5C63E9B-DB54-4524-B6AA-70B5A18DDDDC}"/>
    <hyperlink ref="B11" location="'3. Application site'!A1" display="3. Application site" xr:uid="{83E9D280-F5C6-4AD8-B139-6BE4CE950C06}"/>
    <hyperlink ref="B10" location="'2. Production site'!A1" display="2. Production site" xr:uid="{082043B5-840E-4182-B7DE-9F3235619EC3}"/>
    <hyperlink ref="B9" location="'1. Overview'!A1" display="1. Overview" xr:uid="{437089C9-AC7A-4CCA-9F8F-C206B2D22591}"/>
  </hyperlinks>
  <pageMargins left="0.39370078740157483" right="0.39370078740157483" top="0.39370078740157483" bottom="0.39370078740157483" header="0.19685039370078741" footer="0"/>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61A95-C634-49F8-A11A-CB8F7F47687F}">
  <sheetPr codeName="Sheet10"/>
  <dimension ref="B1:BG77"/>
  <sheetViews>
    <sheetView topLeftCell="S1" zoomScaleNormal="100" workbookViewId="0">
      <selection activeCell="U54" sqref="U54"/>
    </sheetView>
  </sheetViews>
  <sheetFormatPr defaultRowHeight="14.45"/>
  <cols>
    <col min="2" max="2" width="21.6640625" customWidth="1"/>
    <col min="4" max="4" width="27.21875" bestFit="1" customWidth="1"/>
    <col min="16" max="16" width="9.109375" bestFit="1" customWidth="1"/>
  </cols>
  <sheetData>
    <row r="1" spans="2:59">
      <c r="D1" s="9"/>
      <c r="R1" t="s">
        <v>221</v>
      </c>
    </row>
    <row r="2" spans="2:59">
      <c r="B2" s="9"/>
      <c r="R2" s="111" t="s">
        <v>222</v>
      </c>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row>
    <row r="3" spans="2:59">
      <c r="R3" s="111"/>
      <c r="S3" s="111"/>
      <c r="T3" s="111"/>
      <c r="U3" s="111"/>
      <c r="V3" s="111"/>
      <c r="W3" s="111"/>
      <c r="X3" s="111"/>
      <c r="Y3" s="111"/>
      <c r="Z3" s="111"/>
      <c r="AA3" s="111"/>
      <c r="AB3" s="111"/>
      <c r="AC3" s="111"/>
      <c r="AD3" s="111"/>
      <c r="BC3" s="111"/>
      <c r="BD3" s="111"/>
    </row>
    <row r="4" spans="2:59">
      <c r="R4" s="111"/>
      <c r="S4" s="111" t="s">
        <v>223</v>
      </c>
      <c r="T4" s="111"/>
      <c r="U4" s="111"/>
      <c r="V4" s="111"/>
      <c r="X4" s="111"/>
      <c r="Y4" s="111" t="s">
        <v>224</v>
      </c>
      <c r="Z4" s="111"/>
      <c r="AA4" s="111"/>
      <c r="AB4" s="111"/>
      <c r="AC4" s="111"/>
      <c r="AE4" s="111" t="s">
        <v>225</v>
      </c>
      <c r="AF4" s="111"/>
      <c r="AG4" s="111"/>
      <c r="AH4" s="111"/>
      <c r="AI4" s="111"/>
      <c r="AK4" s="111" t="s">
        <v>226</v>
      </c>
      <c r="AL4" s="111"/>
      <c r="AM4" s="111"/>
      <c r="AN4" s="111"/>
      <c r="AO4" s="111"/>
      <c r="AP4" s="111"/>
      <c r="AQ4" s="111" t="s">
        <v>227</v>
      </c>
      <c r="AR4" s="111"/>
      <c r="AS4" s="111"/>
      <c r="AT4" s="111"/>
      <c r="AU4" s="111"/>
      <c r="AV4" s="111"/>
      <c r="AW4" s="111" t="s">
        <v>228</v>
      </c>
      <c r="AX4" s="111"/>
      <c r="AY4" s="111"/>
      <c r="AZ4" s="111"/>
      <c r="BA4" s="111"/>
      <c r="BB4" s="111"/>
      <c r="BC4" s="111" t="s">
        <v>229</v>
      </c>
      <c r="BD4" s="111"/>
      <c r="BE4" s="111"/>
    </row>
    <row r="5" spans="2:59">
      <c r="R5" s="111" t="s">
        <v>178</v>
      </c>
      <c r="S5" s="112" t="s">
        <v>230</v>
      </c>
      <c r="T5" s="112" t="s">
        <v>230</v>
      </c>
      <c r="U5" s="112" t="s">
        <v>231</v>
      </c>
      <c r="V5" s="112" t="s">
        <v>232</v>
      </c>
      <c r="W5" s="112" t="s">
        <v>233</v>
      </c>
      <c r="X5" s="111"/>
      <c r="Y5" s="112" t="s">
        <v>230</v>
      </c>
      <c r="Z5" s="112" t="s">
        <v>230</v>
      </c>
      <c r="AA5" s="112" t="s">
        <v>231</v>
      </c>
      <c r="AB5" s="112" t="s">
        <v>232</v>
      </c>
      <c r="AC5" s="112" t="s">
        <v>233</v>
      </c>
      <c r="AD5" s="111"/>
      <c r="AE5" s="112" t="s">
        <v>230</v>
      </c>
      <c r="AF5" s="112" t="s">
        <v>230</v>
      </c>
      <c r="AG5" s="112" t="s">
        <v>231</v>
      </c>
      <c r="AH5" s="112" t="s">
        <v>232</v>
      </c>
      <c r="AI5" s="112" t="s">
        <v>233</v>
      </c>
      <c r="AJ5" s="111"/>
      <c r="AK5" s="112" t="s">
        <v>230</v>
      </c>
      <c r="AL5" s="112" t="s">
        <v>230</v>
      </c>
      <c r="AM5" s="112" t="s">
        <v>231</v>
      </c>
      <c r="AN5" s="112" t="s">
        <v>232</v>
      </c>
      <c r="AO5" s="112" t="s">
        <v>233</v>
      </c>
      <c r="AP5" s="111"/>
      <c r="AQ5" s="112" t="s">
        <v>230</v>
      </c>
      <c r="AR5" s="112" t="s">
        <v>230</v>
      </c>
      <c r="AS5" s="112" t="s">
        <v>231</v>
      </c>
      <c r="AT5" s="112" t="s">
        <v>232</v>
      </c>
      <c r="AU5" s="112" t="s">
        <v>233</v>
      </c>
      <c r="AV5" s="111"/>
      <c r="AW5" s="112" t="s">
        <v>230</v>
      </c>
      <c r="AX5" s="112" t="s">
        <v>230</v>
      </c>
      <c r="AY5" s="112" t="s">
        <v>231</v>
      </c>
      <c r="AZ5" s="112" t="s">
        <v>232</v>
      </c>
      <c r="BA5" s="112" t="s">
        <v>233</v>
      </c>
      <c r="BB5" s="111"/>
      <c r="BC5" s="112" t="s">
        <v>230</v>
      </c>
      <c r="BD5" s="112" t="s">
        <v>230</v>
      </c>
      <c r="BE5" s="112" t="s">
        <v>231</v>
      </c>
      <c r="BF5" s="112" t="s">
        <v>232</v>
      </c>
      <c r="BG5" s="112" t="s">
        <v>233</v>
      </c>
    </row>
    <row r="6" spans="2:59" ht="15.6">
      <c r="R6" s="111"/>
      <c r="S6" s="112" t="s">
        <v>234</v>
      </c>
      <c r="T6" s="117" t="s">
        <v>235</v>
      </c>
      <c r="U6" s="112" t="s">
        <v>234</v>
      </c>
      <c r="V6" s="112" t="s">
        <v>234</v>
      </c>
      <c r="W6" s="112" t="s">
        <v>236</v>
      </c>
      <c r="X6" s="111"/>
      <c r="Y6" s="112" t="s">
        <v>234</v>
      </c>
      <c r="Z6" s="117" t="s">
        <v>235</v>
      </c>
      <c r="AA6" s="112" t="s">
        <v>234</v>
      </c>
      <c r="AB6" s="112" t="s">
        <v>234</v>
      </c>
      <c r="AC6" s="112" t="s">
        <v>236</v>
      </c>
      <c r="AD6" s="111"/>
      <c r="AE6" s="112" t="s">
        <v>234</v>
      </c>
      <c r="AF6" s="117" t="s">
        <v>235</v>
      </c>
      <c r="AG6" s="112" t="s">
        <v>234</v>
      </c>
      <c r="AH6" s="112" t="s">
        <v>234</v>
      </c>
      <c r="AI6" s="112" t="s">
        <v>236</v>
      </c>
      <c r="AJ6" s="111"/>
      <c r="AK6" s="112" t="s">
        <v>234</v>
      </c>
      <c r="AL6" s="117" t="s">
        <v>235</v>
      </c>
      <c r="AM6" s="112" t="s">
        <v>234</v>
      </c>
      <c r="AN6" s="112" t="s">
        <v>234</v>
      </c>
      <c r="AO6" s="112" t="s">
        <v>236</v>
      </c>
      <c r="AP6" s="111"/>
      <c r="AQ6" s="112" t="s">
        <v>234</v>
      </c>
      <c r="AR6" s="117" t="s">
        <v>235</v>
      </c>
      <c r="AS6" s="112" t="s">
        <v>234</v>
      </c>
      <c r="AT6" s="112" t="s">
        <v>234</v>
      </c>
      <c r="AU6" s="112" t="s">
        <v>236</v>
      </c>
      <c r="AV6" s="111"/>
      <c r="AW6" s="112" t="s">
        <v>234</v>
      </c>
      <c r="AX6" s="117" t="s">
        <v>235</v>
      </c>
      <c r="AY6" s="112" t="s">
        <v>234</v>
      </c>
      <c r="AZ6" s="112" t="s">
        <v>234</v>
      </c>
      <c r="BA6" s="112" t="s">
        <v>236</v>
      </c>
      <c r="BB6" s="111"/>
      <c r="BC6" s="112" t="s">
        <v>234</v>
      </c>
      <c r="BD6" s="117" t="s">
        <v>235</v>
      </c>
      <c r="BE6" s="112" t="s">
        <v>234</v>
      </c>
      <c r="BF6" s="112" t="s">
        <v>234</v>
      </c>
      <c r="BG6" s="112" t="s">
        <v>236</v>
      </c>
    </row>
    <row r="7" spans="2:59">
      <c r="P7" s="183">
        <v>46023</v>
      </c>
      <c r="Q7">
        <f>DAY(EOMONTH(P7, 0))</f>
        <v>31</v>
      </c>
      <c r="R7" s="182" t="s">
        <v>182</v>
      </c>
      <c r="S7" s="111">
        <v>175</v>
      </c>
      <c r="T7" s="24">
        <f>S7/$Q7</f>
        <v>5.645161290322581</v>
      </c>
      <c r="U7" s="111">
        <v>76</v>
      </c>
      <c r="V7" s="111">
        <v>0</v>
      </c>
      <c r="W7" s="113">
        <v>2310</v>
      </c>
      <c r="X7" s="111"/>
      <c r="Y7" s="111">
        <v>168</v>
      </c>
      <c r="Z7" s="24">
        <f>Y7/$Q7</f>
        <v>5.419354838709677</v>
      </c>
      <c r="AA7" s="111">
        <v>79</v>
      </c>
      <c r="AB7" s="111">
        <v>0</v>
      </c>
      <c r="AC7" s="111">
        <v>2250</v>
      </c>
      <c r="AD7" s="111"/>
      <c r="AE7" s="111">
        <v>176</v>
      </c>
      <c r="AF7" s="24">
        <f>AE7/$Q7</f>
        <v>5.67741935483871</v>
      </c>
      <c r="AG7" s="111">
        <v>67</v>
      </c>
      <c r="AH7" s="111">
        <v>0</v>
      </c>
      <c r="AI7" s="111">
        <v>2250</v>
      </c>
      <c r="AJ7" s="111"/>
      <c r="AK7" s="111">
        <v>166</v>
      </c>
      <c r="AL7" s="24">
        <f>AK7/$Q7</f>
        <v>5.354838709677419</v>
      </c>
      <c r="AM7" s="111">
        <v>50</v>
      </c>
      <c r="AN7" s="111">
        <v>0</v>
      </c>
      <c r="AO7" s="111">
        <v>2374</v>
      </c>
      <c r="AP7" s="111"/>
      <c r="AQ7" s="111">
        <v>210</v>
      </c>
      <c r="AR7" s="24">
        <f>AQ7/$Q7</f>
        <v>6.774193548387097</v>
      </c>
      <c r="AS7" s="111">
        <v>71</v>
      </c>
      <c r="AT7" s="111">
        <v>0</v>
      </c>
      <c r="AU7" s="111">
        <v>2530</v>
      </c>
      <c r="AV7" s="111"/>
      <c r="AW7" s="111">
        <v>168</v>
      </c>
      <c r="AX7" s="24">
        <f>AW7/$Q7</f>
        <v>5.419354838709677</v>
      </c>
      <c r="AY7" s="111">
        <v>46</v>
      </c>
      <c r="AZ7" s="111">
        <v>0</v>
      </c>
      <c r="BA7" s="111">
        <v>2155</v>
      </c>
      <c r="BB7" s="111"/>
      <c r="BC7" s="111">
        <v>148</v>
      </c>
      <c r="BD7" s="24">
        <f>BC7/$Q7</f>
        <v>4.774193548387097</v>
      </c>
      <c r="BE7" s="111">
        <v>66</v>
      </c>
      <c r="BF7" s="111">
        <v>0</v>
      </c>
      <c r="BG7" s="111">
        <v>2020</v>
      </c>
    </row>
    <row r="8" spans="2:59">
      <c r="H8" s="27"/>
      <c r="I8" s="27"/>
      <c r="J8" s="27"/>
      <c r="M8" s="9" t="s">
        <v>237</v>
      </c>
      <c r="P8" s="183">
        <v>46054</v>
      </c>
      <c r="Q8">
        <f t="shared" ref="Q8:Q18" si="0">DAY(EOMONTH(P8, 0))</f>
        <v>28</v>
      </c>
      <c r="R8" s="182" t="s">
        <v>238</v>
      </c>
      <c r="S8" s="111">
        <v>146</v>
      </c>
      <c r="T8" s="24">
        <f t="shared" ref="T8:T18" si="1">S8/$Q8</f>
        <v>5.2142857142857144</v>
      </c>
      <c r="U8" s="111">
        <v>66</v>
      </c>
      <c r="V8" s="111">
        <v>0</v>
      </c>
      <c r="W8" s="113">
        <v>2080</v>
      </c>
      <c r="X8" s="111"/>
      <c r="Y8" s="111">
        <v>143</v>
      </c>
      <c r="Z8" s="24">
        <f t="shared" ref="Z8:Z18" si="2">Y8/$Q8</f>
        <v>5.1071428571428568</v>
      </c>
      <c r="AA8" s="111">
        <v>67</v>
      </c>
      <c r="AB8" s="111">
        <v>0</v>
      </c>
      <c r="AC8" s="111">
        <v>2030</v>
      </c>
      <c r="AD8" s="111"/>
      <c r="AE8" s="111">
        <v>139</v>
      </c>
      <c r="AF8" s="24">
        <f t="shared" ref="AF8:AF18" si="3">AE8/$Q8</f>
        <v>4.9642857142857144</v>
      </c>
      <c r="AG8" s="111">
        <v>65</v>
      </c>
      <c r="AH8" s="111">
        <v>0</v>
      </c>
      <c r="AI8" s="111">
        <v>1940</v>
      </c>
      <c r="AJ8" s="111"/>
      <c r="AK8" s="111">
        <v>126</v>
      </c>
      <c r="AL8" s="24">
        <f t="shared" ref="AL8:AL18" si="4">AK8/$Q8</f>
        <v>4.5</v>
      </c>
      <c r="AM8" s="111">
        <v>54</v>
      </c>
      <c r="AN8" s="111">
        <v>0</v>
      </c>
      <c r="AO8" s="111">
        <v>2095</v>
      </c>
      <c r="AP8" s="111"/>
      <c r="AQ8" s="111">
        <v>167</v>
      </c>
      <c r="AR8" s="24">
        <f t="shared" ref="AR8:AR18" si="5">AQ8/$Q8</f>
        <v>5.9642857142857144</v>
      </c>
      <c r="AS8" s="111">
        <v>67</v>
      </c>
      <c r="AT8" s="111">
        <v>0</v>
      </c>
      <c r="AU8" s="111">
        <v>2210</v>
      </c>
      <c r="AV8" s="111"/>
      <c r="AW8" s="111">
        <v>129</v>
      </c>
      <c r="AX8" s="24">
        <f t="shared" ref="AX8:AX18" si="6">AW8/$Q8</f>
        <v>4.6071428571428568</v>
      </c>
      <c r="AY8" s="111">
        <v>35</v>
      </c>
      <c r="AZ8" s="111">
        <v>0</v>
      </c>
      <c r="BA8" s="111">
        <v>1905</v>
      </c>
      <c r="BB8" s="111"/>
      <c r="BC8" s="111">
        <v>119</v>
      </c>
      <c r="BD8" s="24">
        <f t="shared" ref="BD8:BD18" si="7">BC8/$Q8</f>
        <v>4.25</v>
      </c>
      <c r="BE8" s="111">
        <v>52</v>
      </c>
      <c r="BF8" s="111">
        <v>0</v>
      </c>
      <c r="BG8" s="111">
        <v>1750</v>
      </c>
    </row>
    <row r="9" spans="2:59">
      <c r="M9" s="83" cm="1">
        <f t="array" ref="M9">_xlfn.UNIQUE(Applications[Block ID])</f>
        <v>0</v>
      </c>
      <c r="P9" s="183">
        <v>46082</v>
      </c>
      <c r="Q9">
        <f t="shared" si="0"/>
        <v>31</v>
      </c>
      <c r="R9" s="182" t="s">
        <v>239</v>
      </c>
      <c r="S9" s="111">
        <v>119</v>
      </c>
      <c r="T9" s="24">
        <f t="shared" si="1"/>
        <v>3.838709677419355</v>
      </c>
      <c r="U9" s="111">
        <v>95</v>
      </c>
      <c r="V9" s="111">
        <v>0</v>
      </c>
      <c r="W9" s="113">
        <v>1710</v>
      </c>
      <c r="X9" s="111"/>
      <c r="Y9" s="111">
        <v>115</v>
      </c>
      <c r="Z9" s="24">
        <f t="shared" si="2"/>
        <v>3.7096774193548385</v>
      </c>
      <c r="AA9" s="111">
        <v>69</v>
      </c>
      <c r="AB9" s="111">
        <v>0</v>
      </c>
      <c r="AC9" s="111">
        <v>1470</v>
      </c>
      <c r="AD9" s="111"/>
      <c r="AE9" s="111">
        <v>108</v>
      </c>
      <c r="AF9" s="24">
        <f t="shared" si="3"/>
        <v>3.4838709677419355</v>
      </c>
      <c r="AG9" s="111">
        <v>85</v>
      </c>
      <c r="AH9" s="111">
        <v>0</v>
      </c>
      <c r="AI9" s="111">
        <v>1520</v>
      </c>
      <c r="AJ9" s="111"/>
      <c r="AK9" s="111">
        <v>100</v>
      </c>
      <c r="AL9" s="24">
        <f t="shared" si="4"/>
        <v>3.225806451612903</v>
      </c>
      <c r="AM9" s="111">
        <v>71</v>
      </c>
      <c r="AN9" s="111">
        <v>0</v>
      </c>
      <c r="AO9" s="111">
        <v>1682</v>
      </c>
      <c r="AP9" s="111"/>
      <c r="AQ9" s="111">
        <v>126</v>
      </c>
      <c r="AR9" s="24">
        <f t="shared" si="5"/>
        <v>4.064516129032258</v>
      </c>
      <c r="AS9" s="111">
        <v>80</v>
      </c>
      <c r="AT9" s="111">
        <v>0</v>
      </c>
      <c r="AU9" s="111">
        <v>1610</v>
      </c>
      <c r="AV9" s="111"/>
      <c r="AW9" s="111">
        <v>96</v>
      </c>
      <c r="AX9" s="24">
        <f t="shared" si="6"/>
        <v>3.096774193548387</v>
      </c>
      <c r="AY9" s="111">
        <v>49</v>
      </c>
      <c r="AZ9" s="111">
        <v>0</v>
      </c>
      <c r="BA9" s="111">
        <v>1498</v>
      </c>
      <c r="BB9" s="111"/>
      <c r="BC9" s="111">
        <v>91</v>
      </c>
      <c r="BD9" s="24">
        <f t="shared" si="7"/>
        <v>2.935483870967742</v>
      </c>
      <c r="BE9" s="111">
        <v>66</v>
      </c>
      <c r="BF9" s="111">
        <v>0</v>
      </c>
      <c r="BG9" s="111">
        <v>1270</v>
      </c>
    </row>
    <row r="10" spans="2:59">
      <c r="H10" s="27"/>
      <c r="I10" s="27"/>
      <c r="J10" s="27"/>
      <c r="M10" s="83"/>
      <c r="P10" s="183">
        <v>46113</v>
      </c>
      <c r="Q10">
        <f t="shared" si="0"/>
        <v>30</v>
      </c>
      <c r="R10" s="182" t="s">
        <v>240</v>
      </c>
      <c r="S10" s="111">
        <v>81</v>
      </c>
      <c r="T10" s="24">
        <f t="shared" si="1"/>
        <v>2.7</v>
      </c>
      <c r="U10" s="111">
        <v>119</v>
      </c>
      <c r="V10" s="111">
        <v>38</v>
      </c>
      <c r="W10" s="113">
        <v>1260</v>
      </c>
      <c r="X10" s="111"/>
      <c r="Y10" s="111">
        <v>66</v>
      </c>
      <c r="Z10" s="24">
        <f t="shared" si="2"/>
        <v>2.2000000000000002</v>
      </c>
      <c r="AA10" s="111">
        <v>81</v>
      </c>
      <c r="AB10" s="111">
        <v>15</v>
      </c>
      <c r="AC10" s="111">
        <v>1070</v>
      </c>
      <c r="AD10" s="111"/>
      <c r="AE10" s="111">
        <v>69</v>
      </c>
      <c r="AF10" s="24">
        <f t="shared" si="3"/>
        <v>2.2999999999999998</v>
      </c>
      <c r="AG10" s="111">
        <v>86</v>
      </c>
      <c r="AH10" s="111">
        <v>17</v>
      </c>
      <c r="AI10" s="111">
        <v>1070</v>
      </c>
      <c r="AJ10" s="111"/>
      <c r="AK10" s="111">
        <v>60</v>
      </c>
      <c r="AL10" s="24">
        <f t="shared" si="4"/>
        <v>2</v>
      </c>
      <c r="AM10" s="111">
        <v>69</v>
      </c>
      <c r="AN10" s="111">
        <v>9</v>
      </c>
      <c r="AO10" s="111">
        <v>1194</v>
      </c>
      <c r="AP10" s="111"/>
      <c r="AQ10" s="111">
        <v>74</v>
      </c>
      <c r="AR10" s="24">
        <f t="shared" si="5"/>
        <v>2.4666666666666668</v>
      </c>
      <c r="AS10" s="111">
        <v>93</v>
      </c>
      <c r="AT10" s="111">
        <v>19</v>
      </c>
      <c r="AU10" s="111">
        <v>1100</v>
      </c>
      <c r="AV10" s="111"/>
      <c r="AW10" s="111">
        <v>55</v>
      </c>
      <c r="AX10" s="24">
        <f t="shared" si="6"/>
        <v>1.8333333333333333</v>
      </c>
      <c r="AY10" s="111">
        <v>70</v>
      </c>
      <c r="AZ10" s="111">
        <v>15</v>
      </c>
      <c r="BA10" s="111">
        <v>1003</v>
      </c>
      <c r="BB10" s="111"/>
      <c r="BC10" s="111">
        <v>54</v>
      </c>
      <c r="BD10" s="24">
        <f t="shared" si="7"/>
        <v>1.8</v>
      </c>
      <c r="BE10" s="111">
        <v>59</v>
      </c>
      <c r="BF10" s="111">
        <v>5</v>
      </c>
      <c r="BG10" s="111">
        <v>840</v>
      </c>
    </row>
    <row r="11" spans="2:59">
      <c r="M11" s="83"/>
      <c r="P11" s="183">
        <v>46143</v>
      </c>
      <c r="Q11">
        <f t="shared" si="0"/>
        <v>31</v>
      </c>
      <c r="R11" s="182" t="s">
        <v>241</v>
      </c>
      <c r="S11" s="111">
        <v>55</v>
      </c>
      <c r="T11" s="24">
        <f t="shared" si="1"/>
        <v>1.7741935483870968</v>
      </c>
      <c r="U11" s="111">
        <v>127</v>
      </c>
      <c r="V11" s="111">
        <v>72</v>
      </c>
      <c r="W11" s="111">
        <v>850</v>
      </c>
      <c r="X11" s="111"/>
      <c r="Y11" s="111">
        <v>40</v>
      </c>
      <c r="Z11" s="24">
        <f t="shared" si="2"/>
        <v>1.2903225806451613</v>
      </c>
      <c r="AA11" s="111">
        <v>89</v>
      </c>
      <c r="AB11" s="111">
        <v>49</v>
      </c>
      <c r="AC11" s="111">
        <v>730</v>
      </c>
      <c r="AD11" s="111"/>
      <c r="AE11" s="111">
        <v>49</v>
      </c>
      <c r="AF11" s="24">
        <f t="shared" si="3"/>
        <v>1.5806451612903225</v>
      </c>
      <c r="AG11" s="111">
        <v>105</v>
      </c>
      <c r="AH11" s="111">
        <v>56</v>
      </c>
      <c r="AI11" s="111">
        <v>740</v>
      </c>
      <c r="AJ11" s="111"/>
      <c r="AK11" s="111">
        <v>38</v>
      </c>
      <c r="AL11" s="24">
        <f t="shared" si="4"/>
        <v>1.2258064516129032</v>
      </c>
      <c r="AM11" s="111">
        <v>64</v>
      </c>
      <c r="AN11" s="111">
        <v>26</v>
      </c>
      <c r="AO11" s="111">
        <v>833</v>
      </c>
      <c r="AP11" s="111"/>
      <c r="AQ11" s="111">
        <v>47</v>
      </c>
      <c r="AR11" s="24">
        <f t="shared" si="5"/>
        <v>1.5161290322580645</v>
      </c>
      <c r="AS11" s="111">
        <v>103</v>
      </c>
      <c r="AT11" s="111">
        <v>56</v>
      </c>
      <c r="AU11" s="111">
        <v>750</v>
      </c>
      <c r="AV11" s="111"/>
      <c r="AW11" s="111">
        <v>30</v>
      </c>
      <c r="AX11" s="24">
        <f t="shared" si="6"/>
        <v>0.967741935483871</v>
      </c>
      <c r="AY11" s="111">
        <v>68</v>
      </c>
      <c r="AZ11" s="111">
        <v>38</v>
      </c>
      <c r="BA11" s="111">
        <v>675</v>
      </c>
      <c r="BB11" s="111"/>
      <c r="BC11" s="111">
        <v>31</v>
      </c>
      <c r="BD11" s="24">
        <f t="shared" si="7"/>
        <v>1</v>
      </c>
      <c r="BE11" s="111">
        <v>63</v>
      </c>
      <c r="BF11" s="111">
        <v>32</v>
      </c>
      <c r="BG11" s="111">
        <v>510</v>
      </c>
    </row>
    <row r="12" spans="2:59">
      <c r="B12" t="s">
        <v>242</v>
      </c>
      <c r="G12" t="s">
        <v>243</v>
      </c>
      <c r="M12" s="83"/>
      <c r="P12" s="183">
        <v>46174</v>
      </c>
      <c r="Q12">
        <f t="shared" si="0"/>
        <v>30</v>
      </c>
      <c r="R12" s="182" t="s">
        <v>185</v>
      </c>
      <c r="S12" s="111">
        <v>37</v>
      </c>
      <c r="T12" s="24">
        <f t="shared" si="1"/>
        <v>1.2333333333333334</v>
      </c>
      <c r="U12" s="111">
        <v>148</v>
      </c>
      <c r="V12" s="111">
        <v>111</v>
      </c>
      <c r="W12" s="111">
        <v>700</v>
      </c>
      <c r="X12" s="111"/>
      <c r="Y12" s="111">
        <v>24</v>
      </c>
      <c r="Z12" s="24">
        <f t="shared" si="2"/>
        <v>0.8</v>
      </c>
      <c r="AA12" s="111">
        <v>97</v>
      </c>
      <c r="AB12" s="111">
        <v>73</v>
      </c>
      <c r="AC12" s="111">
        <v>620</v>
      </c>
      <c r="AD12" s="111"/>
      <c r="AE12" s="111">
        <v>28</v>
      </c>
      <c r="AF12" s="24">
        <f t="shared" si="3"/>
        <v>0.93333333333333335</v>
      </c>
      <c r="AG12" s="111">
        <v>108</v>
      </c>
      <c r="AH12" s="111">
        <v>80</v>
      </c>
      <c r="AI12" s="111">
        <v>580</v>
      </c>
      <c r="AJ12" s="111"/>
      <c r="AK12" s="111">
        <v>24</v>
      </c>
      <c r="AL12" s="24">
        <f t="shared" si="4"/>
        <v>0.8</v>
      </c>
      <c r="AM12" s="111">
        <v>84</v>
      </c>
      <c r="AN12" s="111">
        <v>60</v>
      </c>
      <c r="AO12" s="111">
        <v>683</v>
      </c>
      <c r="AP12" s="111"/>
      <c r="AQ12" s="111">
        <v>31</v>
      </c>
      <c r="AR12" s="24">
        <f t="shared" si="5"/>
        <v>1.0333333333333334</v>
      </c>
      <c r="AS12" s="111">
        <v>79</v>
      </c>
      <c r="AT12" s="111">
        <v>48</v>
      </c>
      <c r="AU12" s="111">
        <v>570</v>
      </c>
      <c r="AV12" s="111"/>
      <c r="AW12" s="111">
        <v>18</v>
      </c>
      <c r="AX12" s="24">
        <f t="shared" si="6"/>
        <v>0.6</v>
      </c>
      <c r="AY12" s="111">
        <v>56</v>
      </c>
      <c r="AZ12" s="111">
        <v>38</v>
      </c>
      <c r="BA12" s="111">
        <v>533</v>
      </c>
      <c r="BB12" s="111"/>
      <c r="BC12" s="111">
        <v>19</v>
      </c>
      <c r="BD12" s="24">
        <f t="shared" si="7"/>
        <v>0.6333333333333333</v>
      </c>
      <c r="BE12" s="111">
        <v>61</v>
      </c>
      <c r="BF12" s="111">
        <v>42</v>
      </c>
      <c r="BG12" s="111">
        <v>400</v>
      </c>
    </row>
    <row r="13" spans="2:59">
      <c r="B13" t="s">
        <v>244</v>
      </c>
      <c r="G13" t="s">
        <v>245</v>
      </c>
      <c r="M13" s="83"/>
      <c r="P13" s="183">
        <v>46204</v>
      </c>
      <c r="Q13">
        <f t="shared" si="0"/>
        <v>31</v>
      </c>
      <c r="R13" s="182" t="s">
        <v>246</v>
      </c>
      <c r="S13" s="111">
        <v>44</v>
      </c>
      <c r="T13" s="24">
        <f t="shared" si="1"/>
        <v>1.4193548387096775</v>
      </c>
      <c r="U13" s="111">
        <v>150</v>
      </c>
      <c r="V13" s="111">
        <v>106</v>
      </c>
      <c r="W13" s="111">
        <v>800</v>
      </c>
      <c r="X13" s="111"/>
      <c r="Y13" s="111">
        <v>25</v>
      </c>
      <c r="Z13" s="24">
        <f t="shared" si="2"/>
        <v>0.80645161290322576</v>
      </c>
      <c r="AA13" s="111">
        <v>89</v>
      </c>
      <c r="AB13" s="111">
        <v>64</v>
      </c>
      <c r="AC13" s="111">
        <v>670</v>
      </c>
      <c r="AD13" s="111"/>
      <c r="AE13" s="111">
        <v>35</v>
      </c>
      <c r="AF13" s="24">
        <f t="shared" si="3"/>
        <v>1.1290322580645162</v>
      </c>
      <c r="AG13" s="111">
        <v>105</v>
      </c>
      <c r="AH13" s="111">
        <v>70</v>
      </c>
      <c r="AI13" s="111">
        <v>680</v>
      </c>
      <c r="AJ13" s="111"/>
      <c r="AK13" s="111">
        <v>29</v>
      </c>
      <c r="AL13" s="24">
        <f t="shared" si="4"/>
        <v>0.93548387096774188</v>
      </c>
      <c r="AM13" s="111">
        <v>89</v>
      </c>
      <c r="AN13" s="111">
        <v>60</v>
      </c>
      <c r="AO13" s="111">
        <v>736</v>
      </c>
      <c r="AP13" s="111"/>
      <c r="AQ13" s="111">
        <v>32</v>
      </c>
      <c r="AR13" s="24">
        <f t="shared" si="5"/>
        <v>1.032258064516129</v>
      </c>
      <c r="AS13" s="111">
        <v>90</v>
      </c>
      <c r="AT13" s="111">
        <v>58</v>
      </c>
      <c r="AU13" s="111">
        <v>640</v>
      </c>
      <c r="AV13" s="111"/>
      <c r="AW13" s="111">
        <v>20</v>
      </c>
      <c r="AX13" s="24">
        <f t="shared" si="6"/>
        <v>0.64516129032258063</v>
      </c>
      <c r="AY13" s="111">
        <v>70</v>
      </c>
      <c r="AZ13" s="111">
        <v>50</v>
      </c>
      <c r="BA13" s="111">
        <v>604</v>
      </c>
      <c r="BB13" s="111"/>
      <c r="BC13" s="111">
        <v>19</v>
      </c>
      <c r="BD13" s="24">
        <f t="shared" si="7"/>
        <v>0.61290322580645162</v>
      </c>
      <c r="BE13" s="111">
        <v>49</v>
      </c>
      <c r="BF13" s="111">
        <v>30</v>
      </c>
      <c r="BG13" s="111">
        <v>450</v>
      </c>
    </row>
    <row r="14" spans="2:59">
      <c r="B14" t="s">
        <v>247</v>
      </c>
      <c r="M14" s="83"/>
      <c r="P14" s="183">
        <v>46235</v>
      </c>
      <c r="Q14">
        <f t="shared" si="0"/>
        <v>31</v>
      </c>
      <c r="R14" s="182" t="s">
        <v>248</v>
      </c>
      <c r="S14" s="111">
        <v>55</v>
      </c>
      <c r="T14" s="24">
        <f t="shared" si="1"/>
        <v>1.7741935483870968</v>
      </c>
      <c r="U14" s="111">
        <v>124</v>
      </c>
      <c r="V14" s="111">
        <v>69</v>
      </c>
      <c r="W14" s="113">
        <v>1030</v>
      </c>
      <c r="X14" s="111"/>
      <c r="Y14" s="111">
        <v>42</v>
      </c>
      <c r="Z14" s="24">
        <f t="shared" si="2"/>
        <v>1.3548387096774193</v>
      </c>
      <c r="AA14" s="111">
        <v>89</v>
      </c>
      <c r="AB14" s="111">
        <v>47</v>
      </c>
      <c r="AC14" s="111">
        <v>920</v>
      </c>
      <c r="AD14" s="111"/>
      <c r="AE14" s="111">
        <v>47</v>
      </c>
      <c r="AF14" s="24">
        <f t="shared" si="3"/>
        <v>1.5161290322580645</v>
      </c>
      <c r="AG14" s="111">
        <v>113</v>
      </c>
      <c r="AH14" s="111">
        <v>66</v>
      </c>
      <c r="AI14" s="111">
        <v>910</v>
      </c>
      <c r="AJ14" s="111"/>
      <c r="AK14" s="111">
        <v>37</v>
      </c>
      <c r="AL14" s="24">
        <f t="shared" si="4"/>
        <v>1.1935483870967742</v>
      </c>
      <c r="AM14" s="111">
        <v>88</v>
      </c>
      <c r="AN14" s="111">
        <v>51</v>
      </c>
      <c r="AO14" s="111">
        <v>1009</v>
      </c>
      <c r="AP14" s="111"/>
      <c r="AQ14" s="111">
        <v>44</v>
      </c>
      <c r="AR14" s="24">
        <f t="shared" si="5"/>
        <v>1.4193548387096775</v>
      </c>
      <c r="AS14" s="111">
        <v>98</v>
      </c>
      <c r="AT14" s="111">
        <v>54</v>
      </c>
      <c r="AU14" s="111">
        <v>890</v>
      </c>
      <c r="AV14" s="111"/>
      <c r="AW14" s="111">
        <v>35</v>
      </c>
      <c r="AX14" s="24">
        <f t="shared" si="6"/>
        <v>1.1290322580645162</v>
      </c>
      <c r="AY14" s="111">
        <v>61</v>
      </c>
      <c r="AZ14" s="111">
        <v>26</v>
      </c>
      <c r="BA14" s="111">
        <v>865</v>
      </c>
      <c r="BB14" s="111"/>
      <c r="BC14" s="111">
        <v>32</v>
      </c>
      <c r="BD14" s="24">
        <f t="shared" si="7"/>
        <v>1.032258064516129</v>
      </c>
      <c r="BE14" s="111">
        <v>46</v>
      </c>
      <c r="BF14" s="111">
        <v>14</v>
      </c>
      <c r="BG14" s="111">
        <v>720</v>
      </c>
    </row>
    <row r="15" spans="2:59">
      <c r="B15" t="s">
        <v>249</v>
      </c>
      <c r="M15" s="83"/>
      <c r="P15" s="183">
        <v>46266</v>
      </c>
      <c r="Q15">
        <f t="shared" si="0"/>
        <v>30</v>
      </c>
      <c r="R15" s="182" t="s">
        <v>250</v>
      </c>
      <c r="S15" s="111">
        <v>75</v>
      </c>
      <c r="T15" s="24">
        <f t="shared" si="1"/>
        <v>2.5</v>
      </c>
      <c r="U15" s="111">
        <v>138</v>
      </c>
      <c r="V15" s="111">
        <v>63</v>
      </c>
      <c r="W15" s="113">
        <v>1430</v>
      </c>
      <c r="X15" s="111"/>
      <c r="Y15" s="111">
        <v>65</v>
      </c>
      <c r="Z15" s="24">
        <f t="shared" si="2"/>
        <v>2.1666666666666665</v>
      </c>
      <c r="AA15" s="111">
        <v>75</v>
      </c>
      <c r="AB15" s="111">
        <v>10</v>
      </c>
      <c r="AC15" s="111">
        <v>1240</v>
      </c>
      <c r="AD15" s="111"/>
      <c r="AE15" s="111">
        <v>79</v>
      </c>
      <c r="AF15" s="24">
        <f t="shared" si="3"/>
        <v>2.6333333333333333</v>
      </c>
      <c r="AG15" s="111">
        <v>78</v>
      </c>
      <c r="AH15" s="111">
        <v>0</v>
      </c>
      <c r="AI15" s="111">
        <v>1360</v>
      </c>
      <c r="AJ15" s="111"/>
      <c r="AK15" s="111">
        <v>65</v>
      </c>
      <c r="AL15" s="24">
        <f t="shared" si="4"/>
        <v>2.1666666666666665</v>
      </c>
      <c r="AM15" s="111">
        <v>58</v>
      </c>
      <c r="AN15" s="111">
        <v>0</v>
      </c>
      <c r="AO15" s="111">
        <v>1469</v>
      </c>
      <c r="AP15" s="111"/>
      <c r="AQ15" s="111">
        <v>82</v>
      </c>
      <c r="AR15" s="24">
        <f t="shared" si="5"/>
        <v>2.7333333333333334</v>
      </c>
      <c r="AS15" s="111">
        <v>72</v>
      </c>
      <c r="AT15" s="111">
        <v>0</v>
      </c>
      <c r="AU15" s="111">
        <v>1360</v>
      </c>
      <c r="AV15" s="111"/>
      <c r="AW15" s="111">
        <v>67</v>
      </c>
      <c r="AX15" s="24">
        <f t="shared" si="6"/>
        <v>2.2333333333333334</v>
      </c>
      <c r="AY15" s="111">
        <v>36</v>
      </c>
      <c r="AZ15" s="111">
        <v>0</v>
      </c>
      <c r="BA15" s="111">
        <v>1302</v>
      </c>
      <c r="BB15" s="111"/>
      <c r="BC15" s="111">
        <v>63</v>
      </c>
      <c r="BD15" s="24">
        <f t="shared" si="7"/>
        <v>2.1</v>
      </c>
      <c r="BE15" s="111">
        <v>44</v>
      </c>
      <c r="BF15" s="111">
        <v>0</v>
      </c>
      <c r="BG15" s="111">
        <v>1160</v>
      </c>
    </row>
    <row r="16" spans="2:59">
      <c r="M16" s="83"/>
      <c r="P16" s="183">
        <v>46296</v>
      </c>
      <c r="Q16">
        <f t="shared" si="0"/>
        <v>31</v>
      </c>
      <c r="R16" s="182" t="s">
        <v>251</v>
      </c>
      <c r="S16" s="111">
        <v>105</v>
      </c>
      <c r="T16" s="24">
        <f t="shared" si="1"/>
        <v>3.3870967741935485</v>
      </c>
      <c r="U16" s="111">
        <v>90</v>
      </c>
      <c r="V16" s="111">
        <v>0</v>
      </c>
      <c r="W16" s="113">
        <v>1830</v>
      </c>
      <c r="X16" s="111"/>
      <c r="Y16" s="111">
        <v>98</v>
      </c>
      <c r="Z16" s="24">
        <f t="shared" si="2"/>
        <v>3.161290322580645</v>
      </c>
      <c r="AA16" s="111">
        <v>88</v>
      </c>
      <c r="AB16" s="111">
        <v>0</v>
      </c>
      <c r="AC16" s="111">
        <v>1690</v>
      </c>
      <c r="AD16" s="111"/>
      <c r="AE16" s="111">
        <v>120</v>
      </c>
      <c r="AF16" s="24">
        <f t="shared" si="3"/>
        <v>3.870967741935484</v>
      </c>
      <c r="AG16" s="111">
        <v>66</v>
      </c>
      <c r="AH16" s="111">
        <v>0</v>
      </c>
      <c r="AI16" s="111">
        <v>1800</v>
      </c>
      <c r="AJ16" s="111"/>
      <c r="AK16" s="111">
        <v>110</v>
      </c>
      <c r="AL16" s="24">
        <f t="shared" si="4"/>
        <v>3.5483870967741935</v>
      </c>
      <c r="AM16" s="111">
        <v>56</v>
      </c>
      <c r="AN16" s="111">
        <v>0</v>
      </c>
      <c r="AO16" s="111">
        <v>1925</v>
      </c>
      <c r="AP16" s="111"/>
      <c r="AQ16" s="111">
        <v>125</v>
      </c>
      <c r="AR16" s="24">
        <f t="shared" si="5"/>
        <v>4.032258064516129</v>
      </c>
      <c r="AS16" s="111">
        <v>87</v>
      </c>
      <c r="AT16" s="111">
        <v>0</v>
      </c>
      <c r="AU16" s="111">
        <v>1890</v>
      </c>
      <c r="AV16" s="111"/>
      <c r="AW16" s="111">
        <v>112</v>
      </c>
      <c r="AX16" s="24">
        <f t="shared" si="6"/>
        <v>3.6129032258064515</v>
      </c>
      <c r="AY16" s="111">
        <v>40</v>
      </c>
      <c r="AZ16" s="111">
        <v>0</v>
      </c>
      <c r="BA16" s="111">
        <v>1715</v>
      </c>
      <c r="BB16" s="111"/>
      <c r="BC16" s="111">
        <v>98</v>
      </c>
      <c r="BD16" s="24">
        <f t="shared" si="7"/>
        <v>3.161290322580645</v>
      </c>
      <c r="BE16" s="111">
        <v>53</v>
      </c>
      <c r="BF16" s="111">
        <v>0</v>
      </c>
      <c r="BG16" s="111">
        <v>1580</v>
      </c>
    </row>
    <row r="17" spans="2:59">
      <c r="B17" t="s">
        <v>242</v>
      </c>
      <c r="M17" s="83"/>
      <c r="P17" s="183">
        <v>46327</v>
      </c>
      <c r="Q17">
        <f t="shared" si="0"/>
        <v>30</v>
      </c>
      <c r="R17" s="182" t="s">
        <v>252</v>
      </c>
      <c r="S17" s="111">
        <v>135</v>
      </c>
      <c r="T17" s="24">
        <f t="shared" si="1"/>
        <v>4.5</v>
      </c>
      <c r="U17" s="111">
        <v>102</v>
      </c>
      <c r="V17" s="111">
        <v>0</v>
      </c>
      <c r="W17" s="113">
        <v>2140</v>
      </c>
      <c r="X17" s="111"/>
      <c r="Y17" s="111">
        <v>129</v>
      </c>
      <c r="Z17" s="24">
        <f t="shared" si="2"/>
        <v>4.3</v>
      </c>
      <c r="AA17" s="111">
        <v>78</v>
      </c>
      <c r="AB17" s="111">
        <v>0</v>
      </c>
      <c r="AC17" s="111">
        <v>2070</v>
      </c>
      <c r="AD17" s="111"/>
      <c r="AE17" s="111">
        <v>156</v>
      </c>
      <c r="AF17" s="24">
        <f t="shared" si="3"/>
        <v>5.2</v>
      </c>
      <c r="AG17" s="111">
        <v>61</v>
      </c>
      <c r="AH17" s="111">
        <v>0</v>
      </c>
      <c r="AI17" s="111">
        <v>2190</v>
      </c>
      <c r="AJ17" s="111"/>
      <c r="AK17" s="111">
        <v>134</v>
      </c>
      <c r="AL17" s="24">
        <f t="shared" si="4"/>
        <v>4.4666666666666668</v>
      </c>
      <c r="AM17" s="111">
        <v>46</v>
      </c>
      <c r="AN17" s="111">
        <v>0</v>
      </c>
      <c r="AO17" s="111">
        <v>2241</v>
      </c>
      <c r="AP17" s="111"/>
      <c r="AQ17" s="111">
        <v>157</v>
      </c>
      <c r="AR17" s="24">
        <f t="shared" si="5"/>
        <v>5.2333333333333334</v>
      </c>
      <c r="AS17" s="111">
        <v>74</v>
      </c>
      <c r="AT17" s="111">
        <v>0</v>
      </c>
      <c r="AU17" s="111">
        <v>2300</v>
      </c>
      <c r="AV17" s="111"/>
      <c r="AW17" s="111">
        <v>142</v>
      </c>
      <c r="AX17" s="24">
        <f t="shared" si="6"/>
        <v>4.7333333333333334</v>
      </c>
      <c r="AY17" s="111">
        <v>43</v>
      </c>
      <c r="AZ17" s="111">
        <v>0</v>
      </c>
      <c r="BA17" s="111">
        <v>2087</v>
      </c>
      <c r="BB17" s="111"/>
      <c r="BC17" s="111">
        <v>114</v>
      </c>
      <c r="BD17" s="24">
        <f t="shared" si="7"/>
        <v>3.8</v>
      </c>
      <c r="BE17" s="111">
        <v>66</v>
      </c>
      <c r="BF17" s="111">
        <v>0</v>
      </c>
      <c r="BG17" s="111">
        <v>2010</v>
      </c>
    </row>
    <row r="18" spans="2:59">
      <c r="B18" t="s">
        <v>253</v>
      </c>
      <c r="M18" s="83"/>
      <c r="P18" s="183">
        <v>46357</v>
      </c>
      <c r="Q18">
        <f t="shared" si="0"/>
        <v>31</v>
      </c>
      <c r="R18" s="182" t="s">
        <v>254</v>
      </c>
      <c r="S18" s="111">
        <v>165</v>
      </c>
      <c r="T18" s="24">
        <f t="shared" si="1"/>
        <v>5.32258064516129</v>
      </c>
      <c r="U18" s="111">
        <v>114</v>
      </c>
      <c r="V18" s="111">
        <v>0</v>
      </c>
      <c r="W18" s="113">
        <v>2300</v>
      </c>
      <c r="X18" s="111"/>
      <c r="Y18" s="111">
        <v>154</v>
      </c>
      <c r="Z18" s="24">
        <f t="shared" si="2"/>
        <v>4.967741935483871</v>
      </c>
      <c r="AA18" s="111">
        <v>94</v>
      </c>
      <c r="AB18" s="111">
        <v>0</v>
      </c>
      <c r="AC18" s="111">
        <v>2320</v>
      </c>
      <c r="AD18" s="111"/>
      <c r="AE18" s="111">
        <v>174</v>
      </c>
      <c r="AF18" s="24">
        <f t="shared" si="3"/>
        <v>5.612903225806452</v>
      </c>
      <c r="AG18" s="111">
        <v>71</v>
      </c>
      <c r="AH18" s="111">
        <v>0</v>
      </c>
      <c r="AI18" s="111">
        <v>2300</v>
      </c>
      <c r="AJ18" s="111"/>
      <c r="AK18" s="111">
        <v>152</v>
      </c>
      <c r="AL18" s="24">
        <f t="shared" si="4"/>
        <v>4.903225806451613</v>
      </c>
      <c r="AM18" s="111">
        <v>69</v>
      </c>
      <c r="AN18" s="111">
        <v>0</v>
      </c>
      <c r="AO18" s="111">
        <v>2365</v>
      </c>
      <c r="AP18" s="111"/>
      <c r="AQ18" s="111">
        <v>191</v>
      </c>
      <c r="AR18" s="24">
        <f t="shared" si="5"/>
        <v>6.161290322580645</v>
      </c>
      <c r="AS18" s="111">
        <v>72</v>
      </c>
      <c r="AT18" s="111">
        <v>0</v>
      </c>
      <c r="AU18" s="111">
        <v>2500</v>
      </c>
      <c r="AV18" s="111"/>
      <c r="AW18" s="111">
        <v>167</v>
      </c>
      <c r="AX18" s="24">
        <f t="shared" si="6"/>
        <v>5.387096774193548</v>
      </c>
      <c r="AY18" s="111">
        <v>42</v>
      </c>
      <c r="AZ18" s="111">
        <v>0</v>
      </c>
      <c r="BA18" s="111">
        <v>2104</v>
      </c>
      <c r="BB18" s="111"/>
      <c r="BC18" s="111">
        <v>145</v>
      </c>
      <c r="BD18" s="24">
        <f t="shared" si="7"/>
        <v>4.67741935483871</v>
      </c>
      <c r="BE18" s="111">
        <v>66</v>
      </c>
      <c r="BF18" s="111">
        <v>0</v>
      </c>
      <c r="BG18" s="111">
        <v>2150</v>
      </c>
    </row>
    <row r="19" spans="2:59">
      <c r="M19" s="83"/>
      <c r="R19" s="111" t="s">
        <v>255</v>
      </c>
      <c r="S19" s="111">
        <f>SUM(S7:S18)</f>
        <v>1192</v>
      </c>
      <c r="T19" s="24"/>
      <c r="U19" s="111">
        <f t="shared" ref="U19:V19" si="8">SUM(U7:U18)</f>
        <v>1349</v>
      </c>
      <c r="V19" s="111">
        <f t="shared" si="8"/>
        <v>459</v>
      </c>
      <c r="W19" s="111"/>
      <c r="X19" s="111"/>
      <c r="Y19" s="111">
        <v>1069</v>
      </c>
      <c r="AA19" s="111">
        <f t="shared" ref="AA19:AB19" si="9">SUM(AA7:AA18)</f>
        <v>995</v>
      </c>
      <c r="AB19" s="111">
        <f t="shared" si="9"/>
        <v>258</v>
      </c>
      <c r="AC19" s="111"/>
      <c r="AD19" s="111"/>
      <c r="AE19" s="111">
        <v>1180</v>
      </c>
      <c r="AG19" s="111">
        <f t="shared" ref="AG19:AH19" si="10">SUM(AG7:AG18)</f>
        <v>1010</v>
      </c>
      <c r="AH19" s="111">
        <f t="shared" si="10"/>
        <v>289</v>
      </c>
      <c r="AI19" s="111"/>
      <c r="AJ19" s="111"/>
      <c r="AK19" s="111">
        <f t="shared" ref="AK19:AN19" si="11">SUM(AK7:AK18)</f>
        <v>1041</v>
      </c>
      <c r="AL19" s="111"/>
      <c r="AM19" s="111">
        <f t="shared" si="11"/>
        <v>798</v>
      </c>
      <c r="AN19" s="111">
        <f t="shared" si="11"/>
        <v>206</v>
      </c>
      <c r="AO19" s="111"/>
      <c r="AP19" s="111"/>
      <c r="AQ19" s="111">
        <f>SUM(AQ7:AQ18)</f>
        <v>1286</v>
      </c>
      <c r="AR19" s="111"/>
      <c r="AS19" s="111">
        <f t="shared" ref="AS19:AT19" si="12">SUM(AS7:AS18)</f>
        <v>986</v>
      </c>
      <c r="AT19" s="111">
        <f t="shared" si="12"/>
        <v>235</v>
      </c>
      <c r="AU19" s="111"/>
      <c r="AV19" s="111"/>
      <c r="AW19" s="111">
        <f t="shared" ref="AW19:AZ19" si="13">SUM(AW7:AW18)</f>
        <v>1039</v>
      </c>
      <c r="AX19" s="111"/>
      <c r="AY19" s="111">
        <f t="shared" si="13"/>
        <v>616</v>
      </c>
      <c r="AZ19" s="111">
        <f t="shared" si="13"/>
        <v>167</v>
      </c>
      <c r="BA19" s="111"/>
      <c r="BB19" s="111"/>
      <c r="BC19" s="111">
        <f t="shared" ref="BC19:BF19" si="14">SUM(BC7:BC18)</f>
        <v>933</v>
      </c>
      <c r="BD19" s="111"/>
      <c r="BE19" s="111">
        <f t="shared" si="14"/>
        <v>691</v>
      </c>
      <c r="BF19" s="111">
        <f t="shared" si="14"/>
        <v>123</v>
      </c>
      <c r="BG19" s="111"/>
    </row>
    <row r="20" spans="2:59">
      <c r="M20" s="83"/>
      <c r="R20" s="111"/>
      <c r="S20" s="111"/>
      <c r="T20" s="24"/>
      <c r="U20" s="111"/>
      <c r="V20" s="114">
        <f>V19/U19</f>
        <v>0.34025203854707192</v>
      </c>
      <c r="W20" s="111"/>
      <c r="X20" s="111"/>
      <c r="Y20" s="111"/>
      <c r="AA20" s="111"/>
      <c r="AB20" s="114">
        <f>AB19/AA19</f>
        <v>0.25929648241206033</v>
      </c>
      <c r="AC20" s="111"/>
      <c r="AD20" s="111"/>
      <c r="AE20" s="111"/>
      <c r="AG20" s="111"/>
      <c r="AH20" s="114">
        <f>AH19/AG19</f>
        <v>0.28613861386138612</v>
      </c>
      <c r="AI20" s="111"/>
      <c r="AJ20" s="111"/>
      <c r="AK20" s="111"/>
      <c r="AL20" s="111"/>
      <c r="AM20" s="111"/>
      <c r="AN20" s="114">
        <f>AN19/AM19</f>
        <v>0.25814536340852129</v>
      </c>
      <c r="AO20" s="111"/>
      <c r="AP20" s="111"/>
      <c r="AQ20" s="111"/>
      <c r="AR20" s="111"/>
      <c r="AS20" s="111"/>
      <c r="AT20" s="114">
        <f>AT19/AS19</f>
        <v>0.23833671399594319</v>
      </c>
      <c r="AU20" s="111"/>
      <c r="AV20" s="111"/>
      <c r="AW20" s="111"/>
      <c r="AX20" s="111"/>
      <c r="AY20" s="111"/>
      <c r="AZ20" s="114">
        <f>AZ19/AY19</f>
        <v>0.27110389610389612</v>
      </c>
      <c r="BA20" s="111"/>
      <c r="BB20" s="111"/>
      <c r="BC20" s="111"/>
      <c r="BD20" s="111"/>
      <c r="BE20" s="111"/>
      <c r="BF20" s="114">
        <f>BF19/BE19</f>
        <v>0.17800289435600578</v>
      </c>
      <c r="BG20" s="111"/>
    </row>
    <row r="21" spans="2:59">
      <c r="M21" s="83"/>
      <c r="R21" s="111" t="s">
        <v>256</v>
      </c>
      <c r="S21" s="111"/>
      <c r="T21" s="184">
        <f>AVERAGE(T12:T14)</f>
        <v>1.4756272401433692</v>
      </c>
      <c r="U21" s="111"/>
      <c r="V21" s="111"/>
      <c r="X21" s="111"/>
      <c r="Y21" s="111"/>
      <c r="Z21" s="184">
        <f>AVERAGE(Z12:Z14)</f>
        <v>0.98709677419354824</v>
      </c>
      <c r="AA21" s="111"/>
      <c r="AB21" s="111"/>
      <c r="AC21" s="111"/>
      <c r="AD21" s="111"/>
      <c r="AE21" s="111"/>
      <c r="AF21" s="184">
        <f>AVERAGE(AF12:AF14)</f>
        <v>1.1928315412186381</v>
      </c>
      <c r="AL21" s="184">
        <f>AVERAGE(AL12:AL14)</f>
        <v>0.97634408602150524</v>
      </c>
      <c r="AR21" s="184">
        <f>AVERAGE(AR12:AR14)</f>
        <v>1.1616487455197133</v>
      </c>
      <c r="AX21" s="184">
        <f>AVERAGE(AX12:AX14)</f>
        <v>0.79139784946236558</v>
      </c>
      <c r="BD21" s="184">
        <f>AVERAGE(BD12:BD14)</f>
        <v>0.75949820788530464</v>
      </c>
    </row>
    <row r="22" spans="2:59">
      <c r="M22" s="83"/>
      <c r="AM22" s="111"/>
      <c r="AN22" s="111"/>
      <c r="AO22" s="111"/>
      <c r="AP22" s="111"/>
      <c r="AQ22" s="111"/>
      <c r="AR22" s="111"/>
      <c r="AS22" s="111"/>
      <c r="AT22" s="111"/>
      <c r="AU22" s="111"/>
      <c r="AV22" s="111"/>
      <c r="AW22" s="111"/>
      <c r="AX22" s="111"/>
      <c r="AY22" s="111"/>
      <c r="AZ22" s="111"/>
      <c r="BA22" s="111"/>
      <c r="BB22" s="111"/>
      <c r="BC22" s="111"/>
      <c r="BD22" s="111"/>
    </row>
    <row r="23" spans="2:59">
      <c r="M23" s="83"/>
      <c r="AM23" s="111"/>
      <c r="AN23" s="111"/>
      <c r="AO23" s="111"/>
      <c r="AP23" s="111"/>
      <c r="AQ23" s="111"/>
      <c r="AR23" s="111"/>
      <c r="AS23" s="111"/>
      <c r="AT23" s="111"/>
      <c r="AU23" s="111"/>
      <c r="AV23" s="111"/>
      <c r="AW23" s="111"/>
      <c r="AX23" s="111"/>
      <c r="AY23" s="111"/>
      <c r="AZ23" s="111"/>
      <c r="BA23" s="111"/>
      <c r="BB23" s="111"/>
      <c r="BC23" s="111"/>
      <c r="BD23" s="111"/>
    </row>
    <row r="24" spans="2:59">
      <c r="G24">
        <v>1</v>
      </c>
      <c r="H24" t="s">
        <v>182</v>
      </c>
      <c r="I24">
        <v>2024</v>
      </c>
      <c r="J24">
        <v>1</v>
      </c>
      <c r="M24" s="83"/>
      <c r="R24" s="111"/>
      <c r="T24" s="112" t="s">
        <v>231</v>
      </c>
      <c r="V24" s="112" t="s">
        <v>232</v>
      </c>
      <c r="W24" t="s">
        <v>257</v>
      </c>
      <c r="X24" t="s">
        <v>258</v>
      </c>
      <c r="Y24" s="111" t="s">
        <v>259</v>
      </c>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row>
    <row r="25" spans="2:59">
      <c r="E25">
        <v>2</v>
      </c>
      <c r="G25">
        <v>2</v>
      </c>
      <c r="H25" t="s">
        <v>238</v>
      </c>
      <c r="I25">
        <v>2025</v>
      </c>
      <c r="J25">
        <v>2</v>
      </c>
      <c r="M25" s="83"/>
      <c r="R25" s="111" t="s">
        <v>223</v>
      </c>
      <c r="T25" s="111">
        <f>U19</f>
        <v>1349</v>
      </c>
      <c r="V25" s="111">
        <f>V19</f>
        <v>459</v>
      </c>
      <c r="W25">
        <f>SUM(U12:U14)</f>
        <v>422</v>
      </c>
      <c r="X25">
        <f>SUM(V12:V14)</f>
        <v>286</v>
      </c>
      <c r="Y25" s="114">
        <f>(1+V20)*1.1</f>
        <v>1.4742772424017794</v>
      </c>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row>
    <row r="26" spans="2:59">
      <c r="E26">
        <v>1</v>
      </c>
      <c r="G26">
        <v>3</v>
      </c>
      <c r="H26" t="s">
        <v>239</v>
      </c>
      <c r="I26">
        <v>2026</v>
      </c>
      <c r="J26">
        <v>3</v>
      </c>
      <c r="M26" s="83"/>
      <c r="R26" s="111" t="s">
        <v>224</v>
      </c>
      <c r="T26" s="111">
        <f>AA19</f>
        <v>995</v>
      </c>
      <c r="V26" s="111">
        <f>AB19</f>
        <v>258</v>
      </c>
      <c r="W26">
        <f>SUM(AA12:AA14)</f>
        <v>275</v>
      </c>
      <c r="X26">
        <f>SUM(AB12:AB14)</f>
        <v>184</v>
      </c>
      <c r="Y26" s="114">
        <f>(1+AB20)*1.1</f>
        <v>1.3852261306532665</v>
      </c>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11"/>
    </row>
    <row r="27" spans="2:59">
      <c r="E27">
        <v>0</v>
      </c>
      <c r="G27">
        <v>4</v>
      </c>
      <c r="H27" t="s">
        <v>240</v>
      </c>
      <c r="I27">
        <v>2027</v>
      </c>
      <c r="J27">
        <v>4</v>
      </c>
      <c r="M27" s="83"/>
      <c r="R27" s="111" t="s">
        <v>225</v>
      </c>
      <c r="T27" s="111">
        <f>AG19</f>
        <v>1010</v>
      </c>
      <c r="V27" s="111">
        <f>AH19</f>
        <v>289</v>
      </c>
      <c r="W27">
        <f>SUM(AG12:AG14)</f>
        <v>326</v>
      </c>
      <c r="X27">
        <f>SUM(AH12:AH14)</f>
        <v>216</v>
      </c>
      <c r="Y27" s="114">
        <f>(1+AH20)*1.1</f>
        <v>1.4147524752475249</v>
      </c>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row>
    <row r="28" spans="2:59">
      <c r="G28">
        <v>5</v>
      </c>
      <c r="H28" t="s">
        <v>241</v>
      </c>
      <c r="I28">
        <v>2028</v>
      </c>
      <c r="J28">
        <v>5</v>
      </c>
      <c r="M28" s="83"/>
      <c r="R28" s="111" t="s">
        <v>226</v>
      </c>
      <c r="T28" s="111">
        <f>AM19</f>
        <v>798</v>
      </c>
      <c r="V28" s="111">
        <f>AN19</f>
        <v>206</v>
      </c>
      <c r="W28">
        <f>SUM(AM12:AM14)</f>
        <v>261</v>
      </c>
      <c r="X28">
        <f>SUM(AN12:AN14)</f>
        <v>171</v>
      </c>
      <c r="Y28" s="114">
        <f>(1+AN20)*1.1</f>
        <v>1.3839598997493736</v>
      </c>
      <c r="Z28" s="111"/>
      <c r="AA28" s="111"/>
      <c r="AB28" s="111"/>
      <c r="AC28" s="111"/>
      <c r="AD28" s="111"/>
      <c r="AE28" s="111"/>
      <c r="AF28" s="111"/>
      <c r="AG28" s="111"/>
      <c r="AH28" s="111"/>
      <c r="AI28" s="111"/>
      <c r="AJ28" s="111"/>
      <c r="AK28" s="111"/>
      <c r="AL28" s="111"/>
      <c r="AM28" s="111"/>
      <c r="AN28" s="111"/>
      <c r="AO28" s="111"/>
      <c r="AP28" s="111"/>
      <c r="AQ28" s="111"/>
      <c r="AR28" s="111"/>
      <c r="AS28" s="111"/>
      <c r="AT28" s="111"/>
      <c r="AU28" s="111"/>
      <c r="AV28" s="111"/>
      <c r="AW28" s="111"/>
      <c r="AX28" s="111"/>
      <c r="AY28" s="111"/>
      <c r="AZ28" s="111"/>
      <c r="BA28" s="111"/>
      <c r="BB28" s="111"/>
      <c r="BC28" s="111"/>
      <c r="BD28" s="111"/>
    </row>
    <row r="29" spans="2:59">
      <c r="E29" t="s">
        <v>260</v>
      </c>
      <c r="G29">
        <v>6</v>
      </c>
      <c r="H29" t="s">
        <v>185</v>
      </c>
      <c r="I29">
        <v>2029</v>
      </c>
      <c r="J29">
        <v>6</v>
      </c>
      <c r="M29" s="83"/>
      <c r="R29" s="111" t="s">
        <v>227</v>
      </c>
      <c r="T29" s="111">
        <f>AS19</f>
        <v>986</v>
      </c>
      <c r="V29" s="111">
        <f>AT19</f>
        <v>235</v>
      </c>
      <c r="W29">
        <f>SUM(AS12:AS14)</f>
        <v>267</v>
      </c>
      <c r="X29">
        <f>SUM(AT12:AT14)</f>
        <v>160</v>
      </c>
      <c r="Y29" s="114">
        <f>(1+AT20)*1.1</f>
        <v>1.3621703853955376</v>
      </c>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row>
    <row r="30" spans="2:59">
      <c r="E30" t="s">
        <v>261</v>
      </c>
      <c r="G30">
        <v>7</v>
      </c>
      <c r="H30" t="s">
        <v>246</v>
      </c>
      <c r="I30">
        <v>2030</v>
      </c>
      <c r="J30">
        <v>7</v>
      </c>
      <c r="M30" s="83"/>
      <c r="R30" s="111" t="s">
        <v>228</v>
      </c>
      <c r="T30" s="111">
        <f>AY19</f>
        <v>616</v>
      </c>
      <c r="V30" s="111">
        <f>AZ19</f>
        <v>167</v>
      </c>
      <c r="W30">
        <f>SUM(AY12:AY14)</f>
        <v>187</v>
      </c>
      <c r="X30">
        <f>SUM(AZ12:AZ14)</f>
        <v>114</v>
      </c>
      <c r="Y30" s="114">
        <f>(1+AZ20)*1.1</f>
        <v>1.3982142857142859</v>
      </c>
      <c r="Z30" s="111"/>
      <c r="AA30" s="111"/>
      <c r="AB30" s="111"/>
      <c r="AC30" s="111"/>
      <c r="AD30" s="111"/>
      <c r="AE30" s="111"/>
      <c r="AF30" s="111"/>
      <c r="AG30" s="111"/>
      <c r="AH30" s="111"/>
      <c r="AI30" s="111"/>
      <c r="AJ30" s="111"/>
      <c r="AK30" s="111"/>
      <c r="AL30" s="111"/>
    </row>
    <row r="31" spans="2:59">
      <c r="E31" t="s">
        <v>262</v>
      </c>
      <c r="G31">
        <v>8</v>
      </c>
      <c r="H31" t="s">
        <v>248</v>
      </c>
      <c r="I31">
        <v>2031</v>
      </c>
      <c r="J31">
        <v>8</v>
      </c>
      <c r="M31" s="83"/>
      <c r="R31" s="111" t="s">
        <v>229</v>
      </c>
      <c r="T31" s="111">
        <f>BE19</f>
        <v>691</v>
      </c>
      <c r="V31" s="111">
        <f>BF19</f>
        <v>123</v>
      </c>
      <c r="W31">
        <f>SUM(BE12:BE14)</f>
        <v>156</v>
      </c>
      <c r="X31">
        <f>SUM(BF12:BF14)</f>
        <v>86</v>
      </c>
      <c r="Y31" s="114">
        <f>(1+BF20)*1.1</f>
        <v>1.2958031837916064</v>
      </c>
      <c r="Z31" s="111"/>
      <c r="AA31" s="111"/>
      <c r="AB31" s="111"/>
      <c r="AC31" s="111"/>
      <c r="AD31" s="111"/>
      <c r="AE31" s="111"/>
      <c r="AF31" s="111"/>
      <c r="AG31" s="111"/>
      <c r="AH31" s="111"/>
      <c r="AI31" s="111"/>
      <c r="AJ31" s="111"/>
      <c r="AK31" s="111"/>
      <c r="AL31" s="111"/>
    </row>
    <row r="32" spans="2:59">
      <c r="E32" t="s">
        <v>263</v>
      </c>
      <c r="G32">
        <v>9</v>
      </c>
      <c r="H32" t="s">
        <v>250</v>
      </c>
      <c r="I32">
        <v>2032</v>
      </c>
      <c r="J32">
        <v>9</v>
      </c>
      <c r="M32" s="83"/>
    </row>
    <row r="33" spans="5:29">
      <c r="E33" t="s">
        <v>264</v>
      </c>
      <c r="G33">
        <v>10</v>
      </c>
      <c r="H33" t="s">
        <v>251</v>
      </c>
      <c r="I33">
        <v>2033</v>
      </c>
      <c r="J33">
        <v>10</v>
      </c>
      <c r="M33" s="83"/>
      <c r="Y33" s="115">
        <f>MAX(Y25:Y31)</f>
        <v>1.4742772424017794</v>
      </c>
      <c r="Z33" t="s">
        <v>265</v>
      </c>
    </row>
    <row r="34" spans="5:29">
      <c r="E34" t="s">
        <v>266</v>
      </c>
      <c r="G34">
        <v>11</v>
      </c>
      <c r="H34" t="s">
        <v>252</v>
      </c>
      <c r="I34">
        <v>2034</v>
      </c>
      <c r="J34">
        <v>11</v>
      </c>
      <c r="M34" s="83"/>
    </row>
    <row r="35" spans="5:29">
      <c r="E35" t="s">
        <v>267</v>
      </c>
      <c r="G35">
        <v>12</v>
      </c>
      <c r="H35" t="s">
        <v>254</v>
      </c>
      <c r="I35">
        <v>2035</v>
      </c>
      <c r="J35">
        <v>12</v>
      </c>
      <c r="M35" s="83"/>
    </row>
    <row r="36" spans="5:29">
      <c r="I36">
        <v>2036</v>
      </c>
      <c r="J36">
        <v>13</v>
      </c>
      <c r="M36" s="83"/>
    </row>
    <row r="37" spans="5:29">
      <c r="I37">
        <v>2037</v>
      </c>
      <c r="J37">
        <v>14</v>
      </c>
      <c r="M37" s="83"/>
    </row>
    <row r="38" spans="5:29">
      <c r="I38">
        <v>2038</v>
      </c>
      <c r="J38">
        <v>15</v>
      </c>
      <c r="M38" s="83"/>
    </row>
    <row r="39" spans="5:29">
      <c r="E39" t="s">
        <v>268</v>
      </c>
      <c r="I39">
        <v>2039</v>
      </c>
      <c r="J39">
        <v>16</v>
      </c>
      <c r="M39" s="83"/>
      <c r="R39" s="120" t="s">
        <v>269</v>
      </c>
      <c r="S39" s="120"/>
      <c r="T39" s="120"/>
      <c r="U39" s="120"/>
      <c r="V39" s="120"/>
      <c r="W39" s="120"/>
    </row>
    <row r="40" spans="5:29">
      <c r="E40" t="s">
        <v>41</v>
      </c>
      <c r="I40">
        <v>2040</v>
      </c>
      <c r="J40">
        <v>17</v>
      </c>
      <c r="M40" s="83"/>
    </row>
    <row r="41" spans="5:29">
      <c r="I41">
        <v>2041</v>
      </c>
      <c r="J41">
        <v>18</v>
      </c>
      <c r="M41" s="83"/>
    </row>
    <row r="42" spans="5:29">
      <c r="I42">
        <v>2042</v>
      </c>
      <c r="J42">
        <v>19</v>
      </c>
      <c r="M42" s="83"/>
      <c r="U42" t="s">
        <v>270</v>
      </c>
      <c r="Y42" t="s">
        <v>271</v>
      </c>
      <c r="AA42" t="s">
        <v>270</v>
      </c>
    </row>
    <row r="43" spans="5:29">
      <c r="I43">
        <v>2043</v>
      </c>
      <c r="J43">
        <v>20</v>
      </c>
      <c r="M43" s="83"/>
      <c r="R43" t="s">
        <v>73</v>
      </c>
      <c r="U43" t="s">
        <v>272</v>
      </c>
      <c r="Y43" t="s">
        <v>273</v>
      </c>
    </row>
    <row r="44" spans="5:29">
      <c r="I44">
        <v>2044</v>
      </c>
      <c r="J44">
        <v>21</v>
      </c>
      <c r="M44" s="83"/>
      <c r="Y44" t="s">
        <v>274</v>
      </c>
    </row>
    <row r="45" spans="5:29">
      <c r="I45">
        <v>2045</v>
      </c>
      <c r="J45">
        <v>22</v>
      </c>
      <c r="M45" s="83"/>
      <c r="R45" t="s">
        <v>213</v>
      </c>
      <c r="S45" t="s">
        <v>275</v>
      </c>
      <c r="T45" t="s">
        <v>276</v>
      </c>
      <c r="V45" s="117"/>
      <c r="Y45" t="s">
        <v>162</v>
      </c>
      <c r="AA45" t="s">
        <v>162</v>
      </c>
      <c r="AB45" t="s">
        <v>277</v>
      </c>
      <c r="AC45" t="s">
        <v>278</v>
      </c>
    </row>
    <row r="46" spans="5:29">
      <c r="I46">
        <v>2046</v>
      </c>
      <c r="J46">
        <v>23</v>
      </c>
      <c r="M46" s="83"/>
    </row>
    <row r="47" spans="5:29">
      <c r="I47">
        <v>2047</v>
      </c>
      <c r="J47">
        <v>24</v>
      </c>
      <c r="M47" s="83"/>
      <c r="R47" s="117" t="s">
        <v>279</v>
      </c>
      <c r="S47" s="27">
        <v>1339</v>
      </c>
      <c r="T47">
        <v>100</v>
      </c>
      <c r="U47" s="115">
        <f t="shared" ref="U47:U57" si="15">AA47/Y47</f>
        <v>1.3315579227696406</v>
      </c>
      <c r="V47" s="27"/>
      <c r="X47" s="27"/>
      <c r="Y47" s="27">
        <v>1502</v>
      </c>
      <c r="AA47" s="27">
        <v>2000</v>
      </c>
      <c r="AB47">
        <v>70</v>
      </c>
      <c r="AC47">
        <v>20</v>
      </c>
    </row>
    <row r="48" spans="5:29">
      <c r="I48">
        <v>2048</v>
      </c>
      <c r="J48">
        <v>25</v>
      </c>
      <c r="M48" s="83"/>
      <c r="R48" s="117" t="s">
        <v>280</v>
      </c>
      <c r="S48" s="27">
        <v>1217</v>
      </c>
      <c r="T48">
        <v>100</v>
      </c>
      <c r="U48" s="115">
        <f t="shared" si="15"/>
        <v>1.5104529616724738</v>
      </c>
      <c r="V48" s="27"/>
      <c r="X48" s="27"/>
      <c r="Y48" s="27">
        <v>1148</v>
      </c>
      <c r="AA48" s="27">
        <v>1734</v>
      </c>
      <c r="AB48">
        <v>61</v>
      </c>
      <c r="AC48">
        <v>20</v>
      </c>
    </row>
    <row r="49" spans="9:29">
      <c r="I49">
        <v>2049</v>
      </c>
      <c r="J49">
        <v>26</v>
      </c>
      <c r="M49" s="83"/>
      <c r="R49" s="117" t="s">
        <v>281</v>
      </c>
      <c r="S49" s="27">
        <v>1324</v>
      </c>
      <c r="T49">
        <v>100</v>
      </c>
      <c r="U49" s="115">
        <f t="shared" si="15"/>
        <v>1.8441558441558441</v>
      </c>
      <c r="V49" s="27"/>
      <c r="X49" s="27"/>
      <c r="Y49" s="27">
        <v>1540</v>
      </c>
      <c r="AA49" s="27">
        <v>2840</v>
      </c>
      <c r="AB49">
        <v>96</v>
      </c>
      <c r="AC49">
        <v>20</v>
      </c>
    </row>
    <row r="50" spans="9:29">
      <c r="I50">
        <v>2050</v>
      </c>
      <c r="J50">
        <v>27</v>
      </c>
      <c r="M50" s="83"/>
      <c r="R50" s="117" t="s">
        <v>282</v>
      </c>
      <c r="S50" s="27">
        <v>1139</v>
      </c>
      <c r="T50">
        <v>100</v>
      </c>
      <c r="U50" s="115">
        <f t="shared" si="15"/>
        <v>1.433422103861518</v>
      </c>
      <c r="V50" s="27"/>
      <c r="X50" s="27"/>
      <c r="Y50" s="27">
        <v>1502</v>
      </c>
      <c r="AA50" s="27">
        <v>2153</v>
      </c>
      <c r="AB50">
        <v>74</v>
      </c>
      <c r="AC50">
        <v>20</v>
      </c>
    </row>
    <row r="51" spans="9:29">
      <c r="J51">
        <v>28</v>
      </c>
      <c r="M51" s="83"/>
      <c r="R51" s="117" t="s">
        <v>224</v>
      </c>
      <c r="S51" s="27">
        <v>970</v>
      </c>
      <c r="T51">
        <v>100</v>
      </c>
      <c r="U51" s="115">
        <f t="shared" si="15"/>
        <v>1.4002751031636864</v>
      </c>
      <c r="V51" s="27"/>
      <c r="X51" s="27"/>
      <c r="Y51" s="27">
        <v>1454</v>
      </c>
      <c r="AA51" s="27">
        <v>2036</v>
      </c>
      <c r="AB51">
        <v>70</v>
      </c>
      <c r="AC51">
        <v>20</v>
      </c>
    </row>
    <row r="52" spans="9:29">
      <c r="J52">
        <v>29</v>
      </c>
      <c r="M52" s="83"/>
      <c r="R52" s="117" t="s">
        <v>283</v>
      </c>
      <c r="S52" s="27">
        <v>1163</v>
      </c>
      <c r="T52">
        <v>100</v>
      </c>
      <c r="U52" s="115">
        <f>U48</f>
        <v>1.5104529616724738</v>
      </c>
      <c r="V52" s="27"/>
      <c r="X52" s="27"/>
      <c r="Y52" s="27"/>
      <c r="AA52" s="27"/>
    </row>
    <row r="53" spans="9:29">
      <c r="J53">
        <v>30</v>
      </c>
      <c r="M53" s="83"/>
      <c r="R53" s="117" t="s">
        <v>225</v>
      </c>
      <c r="S53" s="27">
        <v>1000</v>
      </c>
      <c r="T53">
        <v>200</v>
      </c>
      <c r="U53" s="115">
        <f t="shared" si="15"/>
        <v>1.3112513144058886</v>
      </c>
      <c r="V53" s="27"/>
      <c r="X53" s="27"/>
      <c r="Y53" s="27">
        <v>951</v>
      </c>
      <c r="AA53" s="27">
        <v>1247</v>
      </c>
      <c r="AB53">
        <v>44</v>
      </c>
      <c r="AC53">
        <v>20</v>
      </c>
    </row>
    <row r="54" spans="9:29">
      <c r="J54">
        <v>31</v>
      </c>
      <c r="M54" s="83"/>
      <c r="R54" s="117" t="s">
        <v>284</v>
      </c>
      <c r="S54" s="27">
        <v>731</v>
      </c>
      <c r="T54">
        <v>100</v>
      </c>
      <c r="U54" s="115">
        <f t="shared" si="15"/>
        <v>1.0905752753977969</v>
      </c>
      <c r="V54" s="27"/>
      <c r="X54" s="27"/>
      <c r="Y54" s="27">
        <v>817</v>
      </c>
      <c r="AA54" s="27">
        <v>891</v>
      </c>
      <c r="AB54">
        <v>32</v>
      </c>
      <c r="AC54">
        <v>20</v>
      </c>
    </row>
    <row r="55" spans="9:29">
      <c r="R55" s="117" t="s">
        <v>285</v>
      </c>
      <c r="S55" s="27">
        <v>1086</v>
      </c>
      <c r="T55">
        <v>100</v>
      </c>
      <c r="U55" s="115">
        <f t="shared" si="15"/>
        <v>1.577028885832187</v>
      </c>
      <c r="V55" s="27"/>
      <c r="X55" s="27"/>
      <c r="Y55" s="27">
        <v>1454</v>
      </c>
      <c r="AA55" s="27">
        <v>2293</v>
      </c>
      <c r="AB55">
        <v>78</v>
      </c>
      <c r="AC55">
        <v>20</v>
      </c>
    </row>
    <row r="56" spans="9:29">
      <c r="R56" s="117" t="s">
        <v>286</v>
      </c>
      <c r="S56" s="27">
        <v>611</v>
      </c>
      <c r="T56">
        <v>100</v>
      </c>
      <c r="U56" s="115">
        <f t="shared" si="15"/>
        <v>1.1543408360128617</v>
      </c>
      <c r="V56" s="27"/>
      <c r="X56" s="27"/>
      <c r="Y56" s="27">
        <v>933</v>
      </c>
      <c r="AA56" s="27">
        <v>1077</v>
      </c>
      <c r="AB56">
        <v>38</v>
      </c>
      <c r="AC56">
        <v>20</v>
      </c>
    </row>
    <row r="57" spans="9:29">
      <c r="R57" s="117" t="s">
        <v>287</v>
      </c>
      <c r="S57" s="27">
        <v>663</v>
      </c>
      <c r="T57">
        <v>100</v>
      </c>
      <c r="U57" s="115">
        <f t="shared" si="15"/>
        <v>1.1569173630454967</v>
      </c>
      <c r="V57" s="27"/>
      <c r="X57" s="27"/>
      <c r="Y57" s="27">
        <v>1077</v>
      </c>
      <c r="AA57" s="27">
        <v>1246</v>
      </c>
      <c r="AB57">
        <v>44</v>
      </c>
      <c r="AC57">
        <v>20</v>
      </c>
    </row>
    <row r="58" spans="9:29">
      <c r="U58" s="24"/>
    </row>
    <row r="59" spans="9:29">
      <c r="R59" s="117" t="s">
        <v>45</v>
      </c>
      <c r="S59" s="27">
        <f>AVERAGE(S47:S57)</f>
        <v>1022.0909090909091</v>
      </c>
      <c r="U59" s="24">
        <f>AVERAGE(U47:U57)</f>
        <v>1.3927664156354425</v>
      </c>
      <c r="V59" s="25"/>
    </row>
    <row r="60" spans="9:29">
      <c r="R60" s="117" t="s">
        <v>288</v>
      </c>
      <c r="S60" s="27">
        <f>MAX(S47:S57)</f>
        <v>1339</v>
      </c>
      <c r="T60">
        <v>50</v>
      </c>
      <c r="U60" s="24">
        <f>MAX(U47:U57)</f>
        <v>1.8441558441558441</v>
      </c>
      <c r="V60" s="27"/>
    </row>
    <row r="63" spans="9:29">
      <c r="R63" t="s">
        <v>289</v>
      </c>
      <c r="S63" t="s">
        <v>290</v>
      </c>
      <c r="U63" t="s">
        <v>276</v>
      </c>
      <c r="V63" t="s">
        <v>291</v>
      </c>
    </row>
    <row r="64" spans="9:29">
      <c r="R64" s="189">
        <f>IFERROR(IF(Calculator!I29&gt;0,Calculator!I29,_xlfn.XLOOKUP(Calculator!I31,SheetData!R47:R57,SheetData!S47:S57)),S60)</f>
        <v>1339</v>
      </c>
      <c r="S64">
        <f>IF(R64&lt;=S71,1,IF(AND(R64&gt;R72,R64&lt;=S72),2,3))</f>
        <v>3</v>
      </c>
      <c r="U64" s="186">
        <f>IFERROR(IF(Calculator!I30&gt;0,Calculator!I30,_xlfn.XLOOKUP(Calculator!I31,SheetData!R47:R57,SheetData!T47:T57)),T60)</f>
        <v>50</v>
      </c>
      <c r="V64">
        <f>IF(U64&lt;=V70,3,IF(AND(U64&gt;U69,U64&lt;=U70),2,1))</f>
        <v>3</v>
      </c>
    </row>
    <row r="67" spans="18:22">
      <c r="T67" t="s">
        <v>276</v>
      </c>
    </row>
    <row r="68" spans="18:22">
      <c r="T68" s="117" t="s">
        <v>292</v>
      </c>
      <c r="U68" s="117" t="s">
        <v>293</v>
      </c>
      <c r="V68" s="117" t="s">
        <v>294</v>
      </c>
    </row>
    <row r="69" spans="18:22">
      <c r="R69" t="s">
        <v>231</v>
      </c>
      <c r="T69">
        <f>U70</f>
        <v>150</v>
      </c>
      <c r="U69">
        <f>V70</f>
        <v>60</v>
      </c>
    </row>
    <row r="70" spans="18:22">
      <c r="U70">
        <v>150</v>
      </c>
      <c r="V70">
        <v>60</v>
      </c>
    </row>
    <row r="71" spans="18:22">
      <c r="S71">
        <v>700</v>
      </c>
      <c r="T71" s="120">
        <v>1</v>
      </c>
      <c r="U71" s="120">
        <v>1</v>
      </c>
      <c r="V71" s="187">
        <v>2</v>
      </c>
    </row>
    <row r="72" spans="18:22">
      <c r="R72">
        <f>S71</f>
        <v>700</v>
      </c>
      <c r="S72">
        <v>1000</v>
      </c>
      <c r="T72" s="187">
        <v>2</v>
      </c>
      <c r="U72" s="187">
        <v>2</v>
      </c>
      <c r="V72" s="188">
        <v>3</v>
      </c>
    </row>
    <row r="73" spans="18:22">
      <c r="R73">
        <f>S72</f>
        <v>1000</v>
      </c>
      <c r="T73" s="188">
        <v>3</v>
      </c>
      <c r="U73" s="188">
        <v>3</v>
      </c>
      <c r="V73" s="188">
        <v>3</v>
      </c>
    </row>
    <row r="76" spans="18:22">
      <c r="R76" t="s">
        <v>295</v>
      </c>
    </row>
    <row r="77" spans="18:22">
      <c r="R77" cm="1">
        <f t="array" ref="R77">INDEX(T71:V73,S64,V64)</f>
        <v>3</v>
      </c>
      <c r="S77" t="s">
        <v>77</v>
      </c>
    </row>
  </sheetData>
  <phoneticPr fontId="1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D0ACE-39C3-408B-875D-D8FE4B18A3AA}">
  <sheetPr codeName="Sheet11"/>
  <dimension ref="C1:Q31"/>
  <sheetViews>
    <sheetView workbookViewId="0">
      <selection activeCell="G24" sqref="G24"/>
    </sheetView>
  </sheetViews>
  <sheetFormatPr defaultRowHeight="14.45"/>
  <sheetData>
    <row r="1" spans="4:17">
      <c r="E1">
        <f>E2*100</f>
        <v>1900</v>
      </c>
      <c r="F1">
        <f t="shared" ref="F1:Q1" si="0">F2*100</f>
        <v>1600</v>
      </c>
      <c r="G1">
        <f t="shared" si="0"/>
        <v>1400</v>
      </c>
      <c r="H1">
        <f t="shared" si="0"/>
        <v>1000</v>
      </c>
      <c r="I1">
        <f t="shared" si="0"/>
        <v>700</v>
      </c>
      <c r="J1">
        <f t="shared" si="0"/>
        <v>500</v>
      </c>
      <c r="K1">
        <f t="shared" si="0"/>
        <v>600</v>
      </c>
      <c r="L1">
        <f t="shared" si="0"/>
        <v>800</v>
      </c>
      <c r="M1">
        <f t="shared" si="0"/>
        <v>1000</v>
      </c>
      <c r="N1">
        <f t="shared" si="0"/>
        <v>1400</v>
      </c>
      <c r="O1">
        <f t="shared" si="0"/>
        <v>1600</v>
      </c>
      <c r="P1">
        <f t="shared" si="0"/>
        <v>1800</v>
      </c>
      <c r="Q1">
        <f t="shared" si="0"/>
        <v>1200</v>
      </c>
    </row>
    <row r="2" spans="4:17">
      <c r="E2">
        <v>19</v>
      </c>
      <c r="F2">
        <v>16</v>
      </c>
      <c r="G2">
        <v>14</v>
      </c>
      <c r="H2">
        <v>10</v>
      </c>
      <c r="I2">
        <v>7</v>
      </c>
      <c r="J2">
        <v>5</v>
      </c>
      <c r="K2">
        <v>6</v>
      </c>
      <c r="L2">
        <v>8</v>
      </c>
      <c r="M2">
        <v>10</v>
      </c>
      <c r="N2">
        <v>14</v>
      </c>
      <c r="O2">
        <v>16</v>
      </c>
      <c r="P2">
        <v>18</v>
      </c>
      <c r="Q2">
        <v>12</v>
      </c>
    </row>
    <row r="3" spans="4:17">
      <c r="E3">
        <f>E4*100</f>
        <v>2190</v>
      </c>
      <c r="F3">
        <f t="shared" ref="F3:Q3" si="1">F4*100</f>
        <v>1880</v>
      </c>
      <c r="G3">
        <f t="shared" si="1"/>
        <v>1410</v>
      </c>
      <c r="H3">
        <f t="shared" si="1"/>
        <v>969.99999999999989</v>
      </c>
      <c r="I3">
        <f t="shared" si="1"/>
        <v>620</v>
      </c>
      <c r="J3">
        <f t="shared" si="1"/>
        <v>470</v>
      </c>
      <c r="K3">
        <f t="shared" si="1"/>
        <v>530</v>
      </c>
      <c r="L3">
        <f t="shared" si="1"/>
        <v>800</v>
      </c>
      <c r="M3">
        <f t="shared" si="1"/>
        <v>1230</v>
      </c>
      <c r="N3">
        <f t="shared" si="1"/>
        <v>1730</v>
      </c>
      <c r="O3">
        <f t="shared" si="1"/>
        <v>2120</v>
      </c>
      <c r="P3">
        <f t="shared" si="1"/>
        <v>2230</v>
      </c>
      <c r="Q3">
        <f t="shared" si="1"/>
        <v>1350</v>
      </c>
    </row>
    <row r="4" spans="4:17">
      <c r="D4" t="s">
        <v>296</v>
      </c>
      <c r="E4">
        <v>21.9</v>
      </c>
      <c r="F4">
        <v>18.8</v>
      </c>
      <c r="G4">
        <v>14.1</v>
      </c>
      <c r="H4">
        <v>9.6999999999999993</v>
      </c>
      <c r="I4">
        <v>6.2</v>
      </c>
      <c r="J4">
        <v>4.7</v>
      </c>
      <c r="K4">
        <v>5.3</v>
      </c>
      <c r="L4">
        <v>8</v>
      </c>
      <c r="M4">
        <v>12.3</v>
      </c>
      <c r="N4">
        <v>17.3</v>
      </c>
      <c r="O4">
        <v>21.2</v>
      </c>
      <c r="P4">
        <v>22.3</v>
      </c>
      <c r="Q4">
        <v>13.5</v>
      </c>
    </row>
    <row r="7" spans="4:17">
      <c r="E7" s="317" t="s">
        <v>297</v>
      </c>
      <c r="F7" s="318"/>
      <c r="G7" s="318"/>
      <c r="H7" s="317" t="s">
        <v>298</v>
      </c>
      <c r="I7" s="318"/>
      <c r="J7" s="318"/>
      <c r="K7" s="318"/>
      <c r="L7" s="318"/>
      <c r="M7" s="319"/>
      <c r="N7" s="317" t="s">
        <v>297</v>
      </c>
      <c r="O7" s="318"/>
      <c r="P7" s="318"/>
    </row>
    <row r="8" spans="4:17">
      <c r="E8" t="s">
        <v>299</v>
      </c>
      <c r="F8" t="s">
        <v>300</v>
      </c>
      <c r="G8" t="s">
        <v>301</v>
      </c>
      <c r="H8" t="s">
        <v>302</v>
      </c>
      <c r="I8" t="s">
        <v>241</v>
      </c>
      <c r="J8" t="s">
        <v>303</v>
      </c>
      <c r="K8" t="s">
        <v>304</v>
      </c>
      <c r="L8" t="s">
        <v>305</v>
      </c>
      <c r="M8" t="s">
        <v>306</v>
      </c>
      <c r="N8" t="s">
        <v>307</v>
      </c>
      <c r="O8" t="s">
        <v>308</v>
      </c>
      <c r="P8" t="s">
        <v>309</v>
      </c>
      <c r="Q8" t="s">
        <v>310</v>
      </c>
    </row>
    <row r="9" spans="4:17">
      <c r="D9" t="s">
        <v>311</v>
      </c>
      <c r="E9">
        <v>21</v>
      </c>
      <c r="F9">
        <v>19</v>
      </c>
      <c r="G9">
        <v>16</v>
      </c>
      <c r="H9">
        <v>11</v>
      </c>
      <c r="I9">
        <v>8</v>
      </c>
      <c r="J9">
        <v>7</v>
      </c>
      <c r="K9">
        <v>7</v>
      </c>
      <c r="L9">
        <v>10</v>
      </c>
      <c r="M9">
        <v>13</v>
      </c>
      <c r="N9">
        <v>16</v>
      </c>
      <c r="O9">
        <v>19</v>
      </c>
      <c r="P9">
        <v>21</v>
      </c>
      <c r="Q9">
        <v>14</v>
      </c>
    </row>
    <row r="10" spans="4:17">
      <c r="D10" t="s">
        <v>312</v>
      </c>
      <c r="E10">
        <f>E9*100</f>
        <v>2100</v>
      </c>
      <c r="F10">
        <f t="shared" ref="F10:Q10" si="2">F9*100</f>
        <v>1900</v>
      </c>
      <c r="G10">
        <f t="shared" si="2"/>
        <v>1600</v>
      </c>
      <c r="H10">
        <f t="shared" si="2"/>
        <v>1100</v>
      </c>
      <c r="I10">
        <f t="shared" si="2"/>
        <v>800</v>
      </c>
      <c r="J10">
        <f t="shared" si="2"/>
        <v>700</v>
      </c>
      <c r="K10">
        <f t="shared" si="2"/>
        <v>700</v>
      </c>
      <c r="L10">
        <f t="shared" si="2"/>
        <v>1000</v>
      </c>
      <c r="M10">
        <f t="shared" si="2"/>
        <v>1300</v>
      </c>
      <c r="N10">
        <f t="shared" si="2"/>
        <v>1600</v>
      </c>
      <c r="O10">
        <f t="shared" si="2"/>
        <v>1900</v>
      </c>
      <c r="P10">
        <f t="shared" si="2"/>
        <v>2100</v>
      </c>
      <c r="Q10">
        <f t="shared" si="2"/>
        <v>1400</v>
      </c>
    </row>
    <row r="12" spans="4:17">
      <c r="F12" t="s">
        <v>313</v>
      </c>
      <c r="G12" t="s">
        <v>314</v>
      </c>
      <c r="H12" t="s">
        <v>315</v>
      </c>
    </row>
    <row r="13" spans="4:17">
      <c r="D13" t="s">
        <v>316</v>
      </c>
      <c r="E13" t="s">
        <v>297</v>
      </c>
      <c r="F13" s="25">
        <f>AVERAGE(E10:G10,N10:P10)</f>
        <v>1866.6666666666667</v>
      </c>
      <c r="G13" s="24">
        <f>F13*2/1000</f>
        <v>3.7333333333333334</v>
      </c>
      <c r="H13" s="25">
        <f>G13/1000*10000</f>
        <v>37.333333333333336</v>
      </c>
      <c r="J13" t="s">
        <v>317</v>
      </c>
    </row>
    <row r="14" spans="4:17">
      <c r="E14" t="s">
        <v>298</v>
      </c>
      <c r="F14" s="25">
        <f>AVERAGE(H10:M10)</f>
        <v>933.33333333333337</v>
      </c>
      <c r="G14" s="24">
        <f>F14*2/1000</f>
        <v>1.8666666666666667</v>
      </c>
      <c r="H14" s="25">
        <f>G14/1000*10000</f>
        <v>18.666666666666668</v>
      </c>
      <c r="J14" t="s">
        <v>318</v>
      </c>
    </row>
    <row r="15" spans="4:17">
      <c r="E15" t="s">
        <v>310</v>
      </c>
      <c r="F15">
        <v>1400</v>
      </c>
      <c r="G15" s="24">
        <f>F15*2/1000</f>
        <v>2.8</v>
      </c>
      <c r="H15" s="25">
        <f>G15/1000*10000</f>
        <v>28</v>
      </c>
      <c r="J15" t="s">
        <v>319</v>
      </c>
    </row>
    <row r="17" spans="3:8">
      <c r="F17" t="s">
        <v>313</v>
      </c>
      <c r="G17" t="s">
        <v>314</v>
      </c>
      <c r="H17" t="s">
        <v>315</v>
      </c>
    </row>
    <row r="18" spans="3:8">
      <c r="D18" t="s">
        <v>320</v>
      </c>
      <c r="E18" t="s">
        <v>297</v>
      </c>
      <c r="F18">
        <v>1865</v>
      </c>
      <c r="G18" s="24">
        <f>F18*2/1000</f>
        <v>3.73</v>
      </c>
      <c r="H18" s="25">
        <f>G18/1000*10000</f>
        <v>37.299999999999997</v>
      </c>
    </row>
    <row r="19" spans="3:8">
      <c r="E19" t="s">
        <v>298</v>
      </c>
      <c r="F19">
        <v>800</v>
      </c>
      <c r="G19" s="24">
        <f t="shared" ref="G19:G20" si="3">F19*2/1000</f>
        <v>1.6</v>
      </c>
      <c r="H19" s="25">
        <f t="shared" ref="H19:H20" si="4">G19/1000*10000</f>
        <v>16</v>
      </c>
    </row>
    <row r="20" spans="3:8">
      <c r="E20" t="s">
        <v>310</v>
      </c>
      <c r="F20">
        <v>1467</v>
      </c>
      <c r="G20" s="24">
        <f t="shared" si="3"/>
        <v>2.9340000000000002</v>
      </c>
      <c r="H20" s="25">
        <f t="shared" si="4"/>
        <v>29.34</v>
      </c>
    </row>
    <row r="23" spans="3:8">
      <c r="F23" t="s">
        <v>313</v>
      </c>
      <c r="G23" t="s">
        <v>314</v>
      </c>
      <c r="H23" t="s">
        <v>315</v>
      </c>
    </row>
    <row r="24" spans="3:8">
      <c r="C24" t="s">
        <v>321</v>
      </c>
      <c r="D24" t="s">
        <v>316</v>
      </c>
      <c r="E24" t="s">
        <v>297</v>
      </c>
      <c r="F24" s="25">
        <f>AVERAGE(E3:G3,N3:P3)</f>
        <v>1926.6666666666667</v>
      </c>
      <c r="G24" s="24">
        <f>F24*2/1000</f>
        <v>3.8533333333333335</v>
      </c>
      <c r="H24" s="25">
        <f>G24/1000*10000</f>
        <v>38.533333333333339</v>
      </c>
    </row>
    <row r="25" spans="3:8">
      <c r="E25" t="s">
        <v>298</v>
      </c>
      <c r="F25" s="25">
        <f>AVERAGE(H3:M3)</f>
        <v>770</v>
      </c>
      <c r="G25" s="24">
        <f>F25*2/1000</f>
        <v>1.54</v>
      </c>
      <c r="H25" s="25">
        <f>G25/1000*10000</f>
        <v>15.400000000000002</v>
      </c>
    </row>
    <row r="26" spans="3:8">
      <c r="E26" t="s">
        <v>310</v>
      </c>
      <c r="F26" s="25">
        <f>AVERAGE(E3:Q3)</f>
        <v>1348.4615384615386</v>
      </c>
      <c r="G26" s="24">
        <f>F26*2/1000</f>
        <v>2.6969230769230772</v>
      </c>
      <c r="H26" s="25">
        <f>G26/1000*10000</f>
        <v>26.969230769230773</v>
      </c>
    </row>
    <row r="28" spans="3:8">
      <c r="C28" t="s">
        <v>322</v>
      </c>
      <c r="F28" t="s">
        <v>313</v>
      </c>
      <c r="G28" t="s">
        <v>314</v>
      </c>
      <c r="H28" t="s">
        <v>315</v>
      </c>
    </row>
    <row r="29" spans="3:8">
      <c r="D29" t="s">
        <v>316</v>
      </c>
      <c r="E29" t="s">
        <v>297</v>
      </c>
      <c r="F29" s="25">
        <f>AVERAGE(E1:G1,N1:P1)</f>
        <v>1616.6666666666667</v>
      </c>
      <c r="G29" s="24">
        <f>F29*2/1000</f>
        <v>3.2333333333333334</v>
      </c>
      <c r="H29" s="25">
        <f>G29/1000*10000</f>
        <v>32.333333333333336</v>
      </c>
    </row>
    <row r="30" spans="3:8">
      <c r="E30" t="s">
        <v>298</v>
      </c>
      <c r="F30" s="25">
        <f>AVERAGE(H1:M1)</f>
        <v>766.66666666666663</v>
      </c>
      <c r="G30" s="24">
        <f>F30*2/1000</f>
        <v>1.5333333333333332</v>
      </c>
      <c r="H30" s="25">
        <f>G30/1000*10000</f>
        <v>15.333333333333332</v>
      </c>
    </row>
    <row r="31" spans="3:8">
      <c r="E31" t="s">
        <v>310</v>
      </c>
      <c r="F31" s="25">
        <f>AVERAGE(E1:Q1)</f>
        <v>1192.3076923076924</v>
      </c>
      <c r="G31" s="24">
        <f>F31*2/1000</f>
        <v>2.3846153846153846</v>
      </c>
      <c r="H31" s="25">
        <f>G31/1000*10000</f>
        <v>23.846153846153847</v>
      </c>
    </row>
  </sheetData>
  <mergeCells count="3">
    <mergeCell ref="H7:M7"/>
    <mergeCell ref="N7:P7"/>
    <mergeCell ref="E7:G7"/>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4E660-CAB6-4836-B317-E085703E3FAD}">
  <sheetPr codeName="Sheet2">
    <tabColor theme="8"/>
    <pageSetUpPr fitToPage="1"/>
  </sheetPr>
  <dimension ref="A1:T96"/>
  <sheetViews>
    <sheetView showGridLines="0" zoomScale="80" zoomScaleNormal="80" workbookViewId="0">
      <selection activeCell="C22" sqref="C22:C23"/>
    </sheetView>
  </sheetViews>
  <sheetFormatPr defaultColWidth="9.21875" defaultRowHeight="14.45"/>
  <cols>
    <col min="1" max="1" width="3.44140625" style="43" customWidth="1"/>
    <col min="2" max="2" width="40.77734375" style="30" customWidth="1"/>
    <col min="3" max="3" width="18.109375" style="18" customWidth="1"/>
    <col min="4" max="4" width="19.109375" style="18" customWidth="1"/>
    <col min="5" max="5" width="6" style="18" customWidth="1"/>
    <col min="6" max="6" width="6.88671875" style="18" customWidth="1"/>
    <col min="7" max="7" width="1.88671875" style="18" customWidth="1"/>
    <col min="8" max="8" width="28.88671875" style="18" customWidth="1"/>
    <col min="9" max="10" width="18.109375" style="18" customWidth="1"/>
    <col min="11" max="11" width="2" style="18" customWidth="1"/>
    <col min="12" max="14" width="15.5546875" style="43" customWidth="1"/>
    <col min="15" max="20" width="9.21875" style="43"/>
    <col min="21" max="16384" width="9.21875" style="18"/>
  </cols>
  <sheetData>
    <row r="1" spans="1:20" s="43" customFormat="1" ht="46.15" customHeight="1">
      <c r="A1" s="47"/>
      <c r="B1" s="246" t="s">
        <v>24</v>
      </c>
      <c r="C1" s="246"/>
      <c r="D1" s="246"/>
      <c r="E1" s="246"/>
      <c r="F1" s="246"/>
      <c r="G1" s="246"/>
      <c r="H1" s="246"/>
      <c r="I1" s="246"/>
      <c r="J1" s="246"/>
      <c r="K1" s="246"/>
      <c r="L1" s="47"/>
      <c r="M1" s="47"/>
      <c r="N1" s="47"/>
      <c r="O1" s="47"/>
      <c r="P1" s="47"/>
      <c r="Q1" s="47"/>
      <c r="R1" s="47"/>
      <c r="S1" s="47"/>
      <c r="T1" s="47"/>
    </row>
    <row r="2" spans="1:20" s="43" customFormat="1">
      <c r="B2" s="42"/>
    </row>
    <row r="3" spans="1:20" s="43" customFormat="1" ht="92.45" customHeight="1">
      <c r="B3" s="248" t="s">
        <v>25</v>
      </c>
      <c r="C3" s="248"/>
      <c r="D3" s="248"/>
      <c r="E3" s="248"/>
      <c r="F3" s="248"/>
      <c r="G3" s="248"/>
      <c r="H3" s="248"/>
      <c r="I3" s="248"/>
      <c r="J3" s="248"/>
      <c r="K3" s="248"/>
    </row>
    <row r="4" spans="1:20" s="43" customFormat="1" ht="9" customHeight="1" thickBot="1">
      <c r="B4" s="45"/>
      <c r="C4" s="45"/>
      <c r="D4" s="45"/>
      <c r="E4" s="45"/>
      <c r="F4" s="45"/>
      <c r="G4" s="45"/>
      <c r="H4" s="45"/>
      <c r="I4" s="45"/>
      <c r="J4" s="45"/>
      <c r="K4" s="45"/>
    </row>
    <row r="5" spans="1:20" s="43" customFormat="1" ht="9" customHeight="1">
      <c r="B5" s="51"/>
      <c r="C5" s="51"/>
      <c r="D5" s="51"/>
      <c r="E5" s="51"/>
      <c r="F5" s="51"/>
      <c r="G5" s="51"/>
      <c r="H5" s="51"/>
      <c r="I5" s="51"/>
      <c r="J5" s="51"/>
      <c r="K5" s="51"/>
    </row>
    <row r="6" spans="1:20" s="43" customFormat="1" ht="36.6" customHeight="1">
      <c r="B6" s="121" t="s">
        <v>26</v>
      </c>
      <c r="C6" s="122"/>
      <c r="D6" s="51"/>
      <c r="E6" s="51"/>
      <c r="F6" s="51"/>
      <c r="G6" s="126"/>
      <c r="H6" s="256" t="s">
        <v>27</v>
      </c>
      <c r="I6" s="256"/>
      <c r="J6" s="256"/>
      <c r="K6" s="71"/>
    </row>
    <row r="7" spans="1:20" s="43" customFormat="1" ht="5.65" customHeight="1" thickBot="1">
      <c r="B7" s="51"/>
      <c r="C7" s="51"/>
      <c r="D7" s="51"/>
      <c r="E7" s="51"/>
      <c r="F7" s="51"/>
      <c r="G7" s="71"/>
      <c r="H7" s="71"/>
      <c r="I7" s="71"/>
      <c r="J7" s="71"/>
      <c r="K7" s="71"/>
    </row>
    <row r="8" spans="1:20" s="43" customFormat="1" ht="45.6" customHeight="1" thickBot="1">
      <c r="B8" s="14" t="s">
        <v>28</v>
      </c>
      <c r="C8" s="125"/>
      <c r="D8" s="51"/>
      <c r="E8" s="51"/>
      <c r="F8" s="51"/>
      <c r="G8" s="71"/>
      <c r="H8" s="127"/>
      <c r="I8" s="128" t="s">
        <v>29</v>
      </c>
      <c r="J8" s="129" t="s">
        <v>30</v>
      </c>
      <c r="K8" s="71"/>
    </row>
    <row r="9" spans="1:20" s="43" customFormat="1" ht="45.6" customHeight="1" thickBot="1">
      <c r="B9" s="14" t="s">
        <v>31</v>
      </c>
      <c r="C9" s="125"/>
      <c r="D9" s="51"/>
      <c r="E9" s="51"/>
      <c r="F9" s="51"/>
      <c r="G9" s="71"/>
      <c r="H9" s="130" t="s">
        <v>32</v>
      </c>
      <c r="I9" s="208"/>
      <c r="J9" s="209"/>
      <c r="K9" s="71"/>
    </row>
    <row r="10" spans="1:20" s="43" customFormat="1" ht="45.6" customHeight="1">
      <c r="B10" s="251" t="s">
        <v>33</v>
      </c>
      <c r="C10" s="251"/>
      <c r="D10" s="251"/>
      <c r="E10" s="51"/>
      <c r="F10" s="51"/>
      <c r="G10" s="71"/>
      <c r="H10" s="130" t="s">
        <v>34</v>
      </c>
      <c r="I10" s="208"/>
      <c r="J10" s="209"/>
      <c r="K10" s="71"/>
    </row>
    <row r="11" spans="1:20" s="43" customFormat="1" ht="45.6" customHeight="1">
      <c r="B11" s="255" t="s">
        <v>35</v>
      </c>
      <c r="C11" s="255"/>
      <c r="D11" s="255"/>
      <c r="E11" s="123"/>
      <c r="F11" s="51"/>
      <c r="G11" s="131"/>
      <c r="H11" s="130" t="s">
        <v>36</v>
      </c>
      <c r="I11" s="214">
        <f>(I9*I10)/1000</f>
        <v>0</v>
      </c>
      <c r="J11" s="215">
        <f>(J9*J10)/1000</f>
        <v>0</v>
      </c>
      <c r="K11" s="71"/>
    </row>
    <row r="12" spans="1:20" s="43" customFormat="1" ht="45.6" customHeight="1">
      <c r="B12" s="255"/>
      <c r="C12" s="255"/>
      <c r="D12" s="255"/>
      <c r="E12" s="51"/>
      <c r="F12" s="51"/>
      <c r="G12" s="71"/>
      <c r="H12" s="130" t="s">
        <v>37</v>
      </c>
      <c r="I12" s="210"/>
      <c r="J12" s="211"/>
      <c r="K12" s="71"/>
    </row>
    <row r="13" spans="1:20" s="43" customFormat="1" ht="45.6" customHeight="1" thickBot="1">
      <c r="B13" s="124" t="s">
        <v>38</v>
      </c>
      <c r="E13" s="51"/>
      <c r="F13" s="51"/>
      <c r="G13" s="71"/>
      <c r="H13" s="130" t="s">
        <v>39</v>
      </c>
      <c r="I13" s="216">
        <f>I12*I11</f>
        <v>0</v>
      </c>
      <c r="J13" s="217">
        <f>J12*J11</f>
        <v>0</v>
      </c>
      <c r="K13" s="71"/>
    </row>
    <row r="14" spans="1:20" s="43" customFormat="1" ht="45.6" customHeight="1" thickBot="1">
      <c r="B14" s="14" t="s">
        <v>40</v>
      </c>
      <c r="C14" s="125"/>
      <c r="D14" s="252" t="s">
        <v>41</v>
      </c>
      <c r="E14" s="51"/>
      <c r="F14" s="51"/>
      <c r="G14" s="71"/>
      <c r="H14" s="130" t="s">
        <v>42</v>
      </c>
      <c r="I14" s="212"/>
      <c r="J14" s="213"/>
      <c r="K14" s="71"/>
    </row>
    <row r="15" spans="1:20" s="43" customFormat="1" ht="45.6" customHeight="1" thickBot="1">
      <c r="B15" s="14" t="s">
        <v>43</v>
      </c>
      <c r="C15" s="125"/>
      <c r="D15" s="253"/>
      <c r="E15" s="249"/>
      <c r="F15" s="250"/>
      <c r="G15" s="71"/>
      <c r="H15" s="130" t="s">
        <v>44</v>
      </c>
      <c r="I15" s="218">
        <f>I13*I14</f>
        <v>0</v>
      </c>
      <c r="J15" s="219">
        <f>J13*J14</f>
        <v>0</v>
      </c>
      <c r="K15" s="71"/>
    </row>
    <row r="16" spans="1:20" s="43" customFormat="1" ht="45.6" customHeight="1" thickBot="1">
      <c r="B16" s="181" t="s">
        <v>45</v>
      </c>
      <c r="C16" s="205">
        <f>C48</f>
        <v>0</v>
      </c>
      <c r="D16" s="205" t="str">
        <f>D14</f>
        <v>m3/ha/day</v>
      </c>
      <c r="E16" s="250"/>
      <c r="F16" s="250"/>
      <c r="G16" s="71"/>
      <c r="H16" s="130" t="s">
        <v>46</v>
      </c>
      <c r="I16" s="220">
        <f>I15/1000</f>
        <v>0</v>
      </c>
      <c r="J16" s="221">
        <f>J15/1000</f>
        <v>0</v>
      </c>
      <c r="K16" s="71"/>
    </row>
    <row r="17" spans="2:12" s="43" customFormat="1" ht="9.6" customHeight="1">
      <c r="B17" s="138"/>
      <c r="C17" s="138"/>
      <c r="D17" s="138"/>
      <c r="E17" s="194"/>
      <c r="F17" s="194"/>
      <c r="G17" s="71"/>
      <c r="H17" s="132"/>
      <c r="I17" s="206"/>
      <c r="J17" s="206"/>
      <c r="K17" s="71"/>
    </row>
    <row r="18" spans="2:12" s="43" customFormat="1" ht="31.5" customHeight="1">
      <c r="B18" s="254" t="s">
        <v>47</v>
      </c>
      <c r="C18" s="254"/>
      <c r="D18" s="254"/>
      <c r="E18" s="51"/>
      <c r="F18" s="51"/>
      <c r="G18" s="138"/>
      <c r="H18" s="138"/>
      <c r="I18" s="138"/>
      <c r="J18" s="138"/>
      <c r="K18" s="138"/>
      <c r="L18" s="138"/>
    </row>
    <row r="19" spans="2:12" s="43" customFormat="1" ht="27.95" customHeight="1">
      <c r="B19" s="254"/>
      <c r="C19" s="254"/>
      <c r="D19" s="254"/>
      <c r="E19" s="51"/>
      <c r="F19" s="51"/>
      <c r="G19" s="51"/>
      <c r="H19" s="138"/>
      <c r="I19" s="137"/>
      <c r="J19" s="137"/>
      <c r="K19" s="51"/>
    </row>
    <row r="20" spans="2:12" s="43" customFormat="1" ht="55.5" customHeight="1" thickBot="1">
      <c r="B20" s="247" t="s">
        <v>48</v>
      </c>
      <c r="C20" s="247"/>
      <c r="D20" s="51"/>
      <c r="E20" s="51"/>
      <c r="F20" s="51"/>
      <c r="G20" s="51"/>
      <c r="H20" s="257" t="s">
        <v>49</v>
      </c>
      <c r="I20" s="257"/>
      <c r="J20" s="257"/>
      <c r="K20" s="51"/>
    </row>
    <row r="21" spans="2:12" s="43" customFormat="1" ht="45.6" customHeight="1" thickBot="1">
      <c r="B21" s="248" t="s">
        <v>50</v>
      </c>
      <c r="C21" s="248"/>
      <c r="D21" s="248"/>
      <c r="E21" s="248"/>
      <c r="F21" s="44"/>
      <c r="G21" s="51"/>
      <c r="H21" s="236" t="s">
        <v>51</v>
      </c>
      <c r="I21" s="14" t="s">
        <v>52</v>
      </c>
      <c r="J21" s="134">
        <f>IFERROR(MAX(D50:D51),"")</f>
        <v>0</v>
      </c>
      <c r="K21" s="51"/>
    </row>
    <row r="22" spans="2:12" s="43" customFormat="1" ht="44.1" customHeight="1" thickBot="1">
      <c r="B22" s="14" t="s">
        <v>53</v>
      </c>
      <c r="C22" s="34"/>
      <c r="D22" s="51"/>
      <c r="E22" s="51"/>
      <c r="F22" s="51"/>
      <c r="G22" s="51"/>
      <c r="H22" s="237"/>
      <c r="I22" s="14" t="s">
        <v>54</v>
      </c>
      <c r="J22" s="134" t="str">
        <f>IFERROR((J21/C9),"")</f>
        <v/>
      </c>
      <c r="K22" s="51"/>
    </row>
    <row r="23" spans="2:12" s="43" customFormat="1" ht="44.1" customHeight="1" thickBot="1">
      <c r="B23" s="118" t="s">
        <v>55</v>
      </c>
      <c r="C23" s="34"/>
      <c r="D23" s="51"/>
      <c r="E23" s="51"/>
      <c r="F23" s="51"/>
      <c r="G23" s="51"/>
      <c r="H23" s="238"/>
      <c r="I23" s="14" t="s">
        <v>56</v>
      </c>
      <c r="J23" s="134" t="str">
        <f>IFERROR((J21/C9/12),"")</f>
        <v/>
      </c>
      <c r="K23" s="51"/>
    </row>
    <row r="24" spans="2:12" s="43" customFormat="1" ht="44.1" customHeight="1" thickBot="1">
      <c r="B24" s="242" t="s">
        <v>57</v>
      </c>
      <c r="C24" s="242"/>
      <c r="D24" s="242"/>
      <c r="E24" s="242"/>
      <c r="F24" s="51"/>
      <c r="G24" s="51"/>
      <c r="H24" s="236" t="s">
        <v>58</v>
      </c>
      <c r="I24" s="14" t="s">
        <v>59</v>
      </c>
      <c r="J24" s="134">
        <f>IFERROR(MAX(D52:D53),"")</f>
        <v>0</v>
      </c>
      <c r="K24" s="51"/>
    </row>
    <row r="25" spans="2:12" s="43" customFormat="1" ht="44.1" customHeight="1" thickBot="1">
      <c r="B25" s="242"/>
      <c r="C25" s="242"/>
      <c r="D25" s="242"/>
      <c r="E25" s="242"/>
      <c r="F25" s="51"/>
      <c r="G25" s="51"/>
      <c r="H25" s="237"/>
      <c r="I25" s="14" t="s">
        <v>60</v>
      </c>
      <c r="J25" s="134" t="str">
        <f>IFERROR((J24/C9),"")</f>
        <v/>
      </c>
      <c r="K25" s="51"/>
    </row>
    <row r="26" spans="2:12" s="43" customFormat="1" ht="44.1" customHeight="1" thickBot="1">
      <c r="B26" s="242"/>
      <c r="C26" s="242"/>
      <c r="D26" s="242"/>
      <c r="E26" s="242"/>
      <c r="F26" s="51"/>
      <c r="G26" s="51"/>
      <c r="H26" s="238"/>
      <c r="I26" s="14" t="s">
        <v>61</v>
      </c>
      <c r="J26" s="134" t="str">
        <f>IFERROR((J24/C9/12),"")</f>
        <v/>
      </c>
      <c r="K26" s="51"/>
    </row>
    <row r="27" spans="2:12" s="43" customFormat="1" ht="12" customHeight="1">
      <c r="B27" s="191"/>
      <c r="C27" s="191"/>
      <c r="D27" s="191"/>
      <c r="E27" s="191"/>
      <c r="F27" s="51"/>
      <c r="G27" s="51"/>
      <c r="K27" s="51"/>
    </row>
    <row r="28" spans="2:12" s="43" customFormat="1" ht="47.45" customHeight="1" thickBot="1">
      <c r="B28" s="241" t="s">
        <v>62</v>
      </c>
      <c r="C28" s="241"/>
      <c r="D28" s="241"/>
      <c r="E28" s="51"/>
      <c r="F28" s="51"/>
      <c r="G28" s="51"/>
      <c r="H28" s="199" t="s">
        <v>63</v>
      </c>
      <c r="K28" s="51"/>
    </row>
    <row r="29" spans="2:12" s="43" customFormat="1" ht="46.5" customHeight="1" thickBot="1">
      <c r="B29" s="243" t="s">
        <v>64</v>
      </c>
      <c r="C29" s="243"/>
      <c r="D29" s="243"/>
      <c r="E29" s="243"/>
      <c r="F29" s="44"/>
      <c r="G29" s="51"/>
      <c r="H29" s="5" t="s">
        <v>65</v>
      </c>
      <c r="I29" s="239"/>
      <c r="J29" s="240"/>
    </row>
    <row r="30" spans="2:12" s="43" customFormat="1" ht="46.5" customHeight="1" thickBot="1">
      <c r="B30" s="243"/>
      <c r="C30" s="243"/>
      <c r="D30" s="243"/>
      <c r="E30" s="243"/>
      <c r="F30" s="44"/>
      <c r="G30" s="51"/>
      <c r="H30" s="5" t="s">
        <v>66</v>
      </c>
      <c r="I30" s="239"/>
      <c r="J30" s="240"/>
    </row>
    <row r="31" spans="2:12" s="43" customFormat="1" ht="46.5" customHeight="1" thickBot="1">
      <c r="B31" s="243"/>
      <c r="C31" s="243"/>
      <c r="D31" s="243"/>
      <c r="E31" s="243"/>
      <c r="F31" s="44"/>
      <c r="G31" s="51"/>
      <c r="H31" s="5" t="s">
        <v>67</v>
      </c>
      <c r="I31" s="239"/>
      <c r="J31" s="240"/>
    </row>
    <row r="32" spans="2:12" s="43" customFormat="1" ht="46.5" customHeight="1" thickBot="1">
      <c r="B32" s="243"/>
      <c r="C32" s="243"/>
      <c r="D32" s="243"/>
      <c r="E32" s="243"/>
      <c r="F32" s="44"/>
      <c r="G32" s="51"/>
      <c r="H32" s="199" t="s">
        <v>68</v>
      </c>
    </row>
    <row r="33" spans="1:14" s="43" customFormat="1" ht="46.5" customHeight="1" thickBot="1">
      <c r="B33" s="243"/>
      <c r="C33" s="243"/>
      <c r="D33" s="243"/>
      <c r="E33" s="243"/>
      <c r="F33" s="44"/>
      <c r="G33" s="51"/>
      <c r="H33" s="14" t="s">
        <v>69</v>
      </c>
      <c r="I33" s="35"/>
      <c r="J33" s="207" t="str">
        <f>TEXT(ROUND($I$35*I33,0),"#,###")&amp;" m3"</f>
        <v xml:space="preserve"> m3</v>
      </c>
      <c r="L33" s="245" t="str">
        <f>IF((I33+I34)=0,"",IF((I33+I34)=1, "", "The %s must equal 100."))</f>
        <v/>
      </c>
    </row>
    <row r="34" spans="1:14" s="43" customFormat="1" ht="46.5" customHeight="1" thickBot="1">
      <c r="B34" s="243"/>
      <c r="C34" s="243"/>
      <c r="D34" s="243"/>
      <c r="E34" s="243"/>
      <c r="F34" s="51"/>
      <c r="G34" s="185"/>
      <c r="H34" s="14" t="s">
        <v>70</v>
      </c>
      <c r="I34" s="35"/>
      <c r="J34" s="207" t="str">
        <f>TEXT(ROUND($I$35*I34,0),"#,###")&amp;" m3"</f>
        <v xml:space="preserve"> m3</v>
      </c>
      <c r="K34" s="51"/>
      <c r="L34" s="245"/>
      <c r="M34" s="201"/>
    </row>
    <row r="35" spans="1:14" s="43" customFormat="1" ht="46.5" customHeight="1" thickBot="1">
      <c r="B35" s="243"/>
      <c r="C35" s="243"/>
      <c r="D35" s="243"/>
      <c r="E35" s="243"/>
      <c r="F35" s="51"/>
      <c r="G35" s="51"/>
      <c r="H35" s="135" t="s">
        <v>71</v>
      </c>
      <c r="I35" s="134">
        <f>IFERROR(SUM(C42:C43),"")</f>
        <v>0</v>
      </c>
      <c r="J35" s="244" t="str">
        <f>IF(I35&lt;10,"Check, there needs to be sufficient storage in case the recirculation water needed to be dumped due to disease or nutrient imbalance. Emergency drain storage is equal to the volume of water in your recirculation system.","")</f>
        <v>Check, there needs to be sufficient storage in case the recirculation water needed to be dumped due to disease or nutrient imbalance. Emergency drain storage is equal to the volume of water in your recirculation system.</v>
      </c>
      <c r="K35" s="244"/>
      <c r="L35" s="244"/>
      <c r="M35" s="244"/>
      <c r="N35" s="244"/>
    </row>
    <row r="36" spans="1:14" s="43" customFormat="1" ht="23.1" customHeight="1">
      <c r="B36" s="192"/>
      <c r="C36" s="192"/>
      <c r="D36" s="192"/>
      <c r="E36" s="192"/>
      <c r="F36" s="51"/>
      <c r="G36" s="51"/>
      <c r="H36" s="192"/>
      <c r="I36" s="192"/>
      <c r="J36" s="244"/>
      <c r="K36" s="244"/>
      <c r="L36" s="244"/>
      <c r="M36" s="244"/>
      <c r="N36" s="244"/>
    </row>
    <row r="37" spans="1:14" s="43" customFormat="1" ht="15.6" customHeight="1">
      <c r="A37" s="51"/>
      <c r="B37" s="51"/>
      <c r="C37" s="51"/>
      <c r="D37" s="51"/>
      <c r="E37" s="51"/>
      <c r="F37" s="51"/>
      <c r="G37" s="51"/>
      <c r="H37" s="51"/>
      <c r="I37" s="51"/>
      <c r="J37" s="244"/>
      <c r="K37" s="244"/>
      <c r="L37" s="244"/>
      <c r="M37" s="244"/>
      <c r="N37" s="244"/>
    </row>
    <row r="38" spans="1:14" s="43" customFormat="1" ht="15.6" customHeight="1" thickBot="1">
      <c r="B38" s="203"/>
      <c r="C38" s="203"/>
      <c r="D38" s="203"/>
      <c r="E38" s="203"/>
      <c r="F38" s="45"/>
      <c r="G38" s="45"/>
      <c r="H38" s="203"/>
      <c r="I38" s="203"/>
      <c r="J38" s="204"/>
      <c r="K38" s="45"/>
      <c r="L38" s="202"/>
      <c r="M38" s="202"/>
      <c r="N38" s="202"/>
    </row>
    <row r="39" spans="1:14" s="43" customFormat="1" ht="15.6" hidden="1" customHeight="1">
      <c r="B39" s="193" t="s">
        <v>72</v>
      </c>
      <c r="C39" s="192"/>
      <c r="D39" s="51"/>
      <c r="E39" s="51"/>
      <c r="F39" s="51"/>
      <c r="G39" s="51"/>
      <c r="H39" s="51"/>
      <c r="I39" s="185"/>
      <c r="J39" s="51"/>
      <c r="K39" s="51"/>
      <c r="L39" s="51"/>
      <c r="M39" s="51"/>
    </row>
    <row r="40" spans="1:14" s="43" customFormat="1" hidden="1">
      <c r="B40" s="42"/>
      <c r="C40" s="110" t="s">
        <v>73</v>
      </c>
      <c r="D40" s="110" t="s">
        <v>74</v>
      </c>
      <c r="E40" s="109" t="s">
        <v>75</v>
      </c>
      <c r="F40" s="110"/>
      <c r="H40" s="42"/>
      <c r="I40" s="110"/>
      <c r="J40" s="110"/>
      <c r="K40" s="109"/>
      <c r="L40" s="110"/>
    </row>
    <row r="41" spans="1:14" s="43" customFormat="1" hidden="1">
      <c r="D41" s="110"/>
      <c r="G41" s="110"/>
      <c r="J41" s="110"/>
      <c r="M41" s="110"/>
    </row>
    <row r="42" spans="1:14" s="43" customFormat="1" hidden="1">
      <c r="B42" s="109" t="s">
        <v>76</v>
      </c>
      <c r="C42" s="190" t="str">
        <f>IF(D14="m3/day",(C15*D42*I33)+(C15*D42*I34*E42),"N/A")</f>
        <v>N/A</v>
      </c>
      <c r="D42" s="48">
        <f>SheetData!R77*30</f>
        <v>90</v>
      </c>
      <c r="E42" s="119">
        <f>IFERROR(_xlfn.XLOOKUP(I31,SheetData!R47:R57,SheetData!U47:U57),SheetData!U60)</f>
        <v>1.8441558441558441</v>
      </c>
      <c r="F42" s="48"/>
      <c r="H42" s="110">
        <f>SheetData!R77</f>
        <v>3</v>
      </c>
      <c r="I42" s="198" t="s">
        <v>77</v>
      </c>
      <c r="J42" s="48"/>
      <c r="K42" s="119"/>
      <c r="L42" s="48"/>
    </row>
    <row r="43" spans="1:14" s="43" customFormat="1" hidden="1">
      <c r="B43" s="109" t="s">
        <v>78</v>
      </c>
      <c r="C43" s="190">
        <f>IF(D14="m3/ha/day",(C15*D43*I33*C8)+(C15*D43*I34*E43*C8),"N/A")</f>
        <v>0</v>
      </c>
      <c r="D43" s="48">
        <f>SheetData!R77*30</f>
        <v>90</v>
      </c>
      <c r="E43" s="119">
        <f>IFERROR(_xlfn.XLOOKUP(I31,SheetData!R47:R57,SheetData!U47:U57),SheetData!U60)</f>
        <v>1.8441558441558441</v>
      </c>
      <c r="F43" s="48"/>
      <c r="G43" s="48"/>
      <c r="H43" s="109"/>
      <c r="I43" s="190"/>
      <c r="J43" s="48"/>
      <c r="K43" s="119"/>
      <c r="L43" s="48"/>
      <c r="M43" s="48"/>
    </row>
    <row r="44" spans="1:14" s="43" customFormat="1" hidden="1">
      <c r="B44" s="42"/>
      <c r="G44" s="48"/>
      <c r="H44" s="42"/>
      <c r="M44" s="48"/>
    </row>
    <row r="45" spans="1:14" s="43" customFormat="1" hidden="1">
      <c r="B45" s="133"/>
      <c r="C45" s="48"/>
    </row>
    <row r="46" spans="1:14" s="43" customFormat="1" hidden="1"/>
    <row r="47" spans="1:14" s="43" customFormat="1" hidden="1">
      <c r="B47" s="42" t="s">
        <v>79</v>
      </c>
      <c r="C47" s="43">
        <f>(C14*212)+(C15*153)</f>
        <v>0</v>
      </c>
      <c r="D47" s="195" t="str">
        <f>D14</f>
        <v>m3/ha/day</v>
      </c>
    </row>
    <row r="48" spans="1:14" s="43" customFormat="1" hidden="1">
      <c r="B48" s="42" t="s">
        <v>80</v>
      </c>
      <c r="C48" s="119">
        <f>C47/365</f>
        <v>0</v>
      </c>
      <c r="D48" s="195" t="str">
        <f>D14</f>
        <v>m3/ha/day</v>
      </c>
    </row>
    <row r="49" spans="2:10" s="43" customFormat="1" hidden="1">
      <c r="B49" s="42" t="s">
        <v>81</v>
      </c>
      <c r="C49" s="119" cm="1">
        <f t="array" ref="C49">_xlfn.IFS(D16="m3/ha/day",C48,D16="m3/day",C48/C8)</f>
        <v>0</v>
      </c>
      <c r="D49" s="43" t="s">
        <v>41</v>
      </c>
    </row>
    <row r="50" spans="2:10" s="43" customFormat="1" hidden="1">
      <c r="C50" s="110" t="s">
        <v>82</v>
      </c>
      <c r="D50" s="48">
        <f>IFERROR((C22*$C$49*365*C8/1000),"")</f>
        <v>0</v>
      </c>
      <c r="E50" s="43" t="s">
        <v>83</v>
      </c>
    </row>
    <row r="51" spans="2:10" s="43" customFormat="1" hidden="1">
      <c r="C51" s="110" t="s">
        <v>84</v>
      </c>
      <c r="D51" s="48">
        <f>IFERROR((C22*$C$49*C8/1000),"")</f>
        <v>0</v>
      </c>
      <c r="E51" s="43" t="s">
        <v>83</v>
      </c>
    </row>
    <row r="52" spans="2:10" s="43" customFormat="1" hidden="1">
      <c r="C52" s="110" t="s">
        <v>82</v>
      </c>
      <c r="D52" s="48">
        <f>IFERROR((C23*$C$49*365*C8/1000),"")</f>
        <v>0</v>
      </c>
      <c r="E52" s="43" t="s">
        <v>85</v>
      </c>
    </row>
    <row r="53" spans="2:10" s="43" customFormat="1" hidden="1">
      <c r="C53" s="110" t="s">
        <v>84</v>
      </c>
      <c r="D53" s="48">
        <f>IFERROR((C23*$C$49*C8/1000),"")</f>
        <v>0</v>
      </c>
      <c r="E53" s="43" t="s">
        <v>85</v>
      </c>
    </row>
    <row r="54" spans="2:10" s="43" customFormat="1">
      <c r="C54" s="136"/>
    </row>
    <row r="55" spans="2:10" s="43" customFormat="1">
      <c r="B55" s="42"/>
    </row>
    <row r="56" spans="2:10" s="43" customFormat="1" ht="15.6">
      <c r="B56" s="192"/>
      <c r="C56" s="192"/>
      <c r="D56" s="192"/>
      <c r="E56" s="192"/>
      <c r="F56" s="51"/>
      <c r="G56" s="51"/>
      <c r="H56" s="192"/>
      <c r="I56" s="192"/>
      <c r="J56" s="185"/>
    </row>
    <row r="57" spans="2:10" s="43" customFormat="1">
      <c r="B57" s="42"/>
    </row>
    <row r="58" spans="2:10" s="43" customFormat="1">
      <c r="B58" s="42"/>
    </row>
    <row r="59" spans="2:10" s="43" customFormat="1">
      <c r="B59" s="42"/>
    </row>
    <row r="60" spans="2:10" s="43" customFormat="1">
      <c r="B60" s="42"/>
    </row>
    <row r="61" spans="2:10" s="43" customFormat="1">
      <c r="B61" s="42"/>
    </row>
    <row r="62" spans="2:10" s="43" customFormat="1">
      <c r="B62" s="42"/>
    </row>
    <row r="63" spans="2:10" s="43" customFormat="1">
      <c r="B63" s="42"/>
    </row>
    <row r="64" spans="2:10" s="43" customFormat="1">
      <c r="B64" s="42"/>
    </row>
    <row r="65" spans="2:2" s="43" customFormat="1">
      <c r="B65" s="42"/>
    </row>
    <row r="66" spans="2:2" s="43" customFormat="1">
      <c r="B66" s="42"/>
    </row>
    <row r="67" spans="2:2" s="43" customFormat="1">
      <c r="B67" s="42"/>
    </row>
    <row r="68" spans="2:2" s="43" customFormat="1">
      <c r="B68" s="42"/>
    </row>
    <row r="69" spans="2:2" s="43" customFormat="1">
      <c r="B69" s="42"/>
    </row>
    <row r="70" spans="2:2" s="43" customFormat="1">
      <c r="B70" s="42"/>
    </row>
    <row r="71" spans="2:2" s="43" customFormat="1">
      <c r="B71" s="42"/>
    </row>
    <row r="72" spans="2:2" s="43" customFormat="1">
      <c r="B72" s="42"/>
    </row>
    <row r="73" spans="2:2" s="43" customFormat="1">
      <c r="B73" s="42"/>
    </row>
    <row r="74" spans="2:2" s="43" customFormat="1">
      <c r="B74" s="42"/>
    </row>
    <row r="75" spans="2:2" s="43" customFormat="1">
      <c r="B75" s="42"/>
    </row>
    <row r="76" spans="2:2" s="43" customFormat="1">
      <c r="B76" s="42"/>
    </row>
    <row r="77" spans="2:2" s="43" customFormat="1">
      <c r="B77" s="42"/>
    </row>
    <row r="78" spans="2:2" s="43" customFormat="1">
      <c r="B78" s="42"/>
    </row>
    <row r="79" spans="2:2" s="43" customFormat="1">
      <c r="B79" s="42"/>
    </row>
    <row r="80" spans="2:2" s="43" customFormat="1">
      <c r="B80" s="42"/>
    </row>
    <row r="81" spans="2:10" s="43" customFormat="1">
      <c r="B81" s="42"/>
    </row>
    <row r="82" spans="2:10" s="43" customFormat="1">
      <c r="B82" s="42"/>
    </row>
    <row r="83" spans="2:10" s="43" customFormat="1">
      <c r="B83" s="42"/>
    </row>
    <row r="84" spans="2:10" s="43" customFormat="1">
      <c r="B84" s="42"/>
    </row>
    <row r="85" spans="2:10" s="43" customFormat="1">
      <c r="B85" s="42"/>
    </row>
    <row r="86" spans="2:10" s="43" customFormat="1">
      <c r="B86" s="42"/>
    </row>
    <row r="87" spans="2:10" s="43" customFormat="1">
      <c r="B87" s="42"/>
    </row>
    <row r="88" spans="2:10" s="43" customFormat="1">
      <c r="B88" s="42"/>
    </row>
    <row r="89" spans="2:10" s="43" customFormat="1">
      <c r="B89" s="42"/>
    </row>
    <row r="90" spans="2:10" s="43" customFormat="1">
      <c r="B90" s="42"/>
    </row>
    <row r="91" spans="2:10" s="43" customFormat="1">
      <c r="B91" s="42"/>
    </row>
    <row r="92" spans="2:10" s="43" customFormat="1">
      <c r="B92" s="42"/>
    </row>
    <row r="93" spans="2:10" s="43" customFormat="1">
      <c r="B93" s="42"/>
    </row>
    <row r="94" spans="2:10" s="43" customFormat="1">
      <c r="B94" s="42"/>
    </row>
    <row r="95" spans="2:10" s="43" customFormat="1">
      <c r="B95" s="42"/>
      <c r="E95" s="18"/>
      <c r="F95" s="18"/>
    </row>
    <row r="96" spans="2:10" s="43" customFormat="1">
      <c r="B96" s="30"/>
      <c r="C96" s="18"/>
      <c r="D96" s="18"/>
      <c r="E96" s="18"/>
      <c r="F96" s="18"/>
      <c r="G96" s="18"/>
      <c r="H96" s="18"/>
      <c r="I96" s="18"/>
      <c r="J96" s="18"/>
    </row>
  </sheetData>
  <sheetProtection algorithmName="SHA-512" hashValue="LD0wCjwrn/yPdFjk7GSttoigSYSKVxQd93OX+p9WfOfbkr2R3nEuJHh8YDsGq8yFTwX8xX7qNYp590Ojcj/siA==" saltValue="KnpjKaKRB6nkA8IofAJkCA==" spinCount="100000" sheet="1" objects="1" scenarios="1"/>
  <mergeCells count="21">
    <mergeCell ref="B1:K1"/>
    <mergeCell ref="B20:C20"/>
    <mergeCell ref="B21:E21"/>
    <mergeCell ref="E15:F16"/>
    <mergeCell ref="B10:D10"/>
    <mergeCell ref="D14:D15"/>
    <mergeCell ref="B18:D19"/>
    <mergeCell ref="B11:D12"/>
    <mergeCell ref="B3:K3"/>
    <mergeCell ref="H6:J6"/>
    <mergeCell ref="H20:J20"/>
    <mergeCell ref="H21:H23"/>
    <mergeCell ref="H24:H26"/>
    <mergeCell ref="I31:J31"/>
    <mergeCell ref="I29:J29"/>
    <mergeCell ref="I30:J30"/>
    <mergeCell ref="B28:D28"/>
    <mergeCell ref="B24:E26"/>
    <mergeCell ref="B29:E35"/>
    <mergeCell ref="J35:N37"/>
    <mergeCell ref="L33:L34"/>
  </mergeCells>
  <pageMargins left="0.23622047244094491" right="0.23622047244094491" top="0.39370078740157483" bottom="0.39370078740157483" header="0.31496062992125984" footer="0.31496062992125984"/>
  <pageSetup paperSize="8"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B518CDE-A0D4-4667-BC0A-0C00A5FFA01D}">
          <x14:formula1>
            <xm:f>SheetData!$E$39:$E$40</xm:f>
          </x14:formula1>
          <xm:sqref>D14</xm:sqref>
        </x14:dataValidation>
        <x14:dataValidation type="list" allowBlank="1" showInputMessage="1" showErrorMessage="1" xr:uid="{85A57279-23CE-4348-A26B-18D36E750F6C}">
          <x14:formula1>
            <xm:f>SheetData!$R$47:$R$57</xm:f>
          </x14:formula1>
          <xm:sqref>I31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1A5A5-DBE6-4863-9E57-0807324713CD}">
  <sheetPr codeName="Sheet3">
    <tabColor theme="4"/>
    <pageSetUpPr fitToPage="1"/>
  </sheetPr>
  <dimension ref="B1:L28"/>
  <sheetViews>
    <sheetView showGridLines="0" showWhiteSpace="0" zoomScale="80" zoomScaleNormal="80" zoomScalePageLayoutView="90" workbookViewId="0"/>
  </sheetViews>
  <sheetFormatPr defaultRowHeight="14.45"/>
  <cols>
    <col min="1" max="1" width="3.44140625" customWidth="1"/>
    <col min="2" max="2" width="34.21875" style="3" customWidth="1"/>
    <col min="3" max="8" width="14" style="3" customWidth="1"/>
    <col min="9" max="12" width="7.77734375" style="3" customWidth="1"/>
    <col min="16" max="16" width="11.33203125" bestFit="1" customWidth="1"/>
    <col min="17" max="17" width="9.44140625" bestFit="1" customWidth="1"/>
  </cols>
  <sheetData>
    <row r="1" spans="2:12" s="20" customFormat="1" ht="46.15" customHeight="1">
      <c r="B1" s="225" t="s">
        <v>86</v>
      </c>
      <c r="C1" s="225"/>
      <c r="D1" s="225"/>
      <c r="E1" s="225"/>
      <c r="F1" s="225"/>
      <c r="G1" s="225"/>
      <c r="H1" s="225"/>
      <c r="I1" s="225"/>
      <c r="J1" s="225"/>
      <c r="K1" s="225"/>
      <c r="L1" s="225"/>
    </row>
    <row r="2" spans="2:12" ht="7.15" customHeight="1">
      <c r="B2" s="262"/>
      <c r="C2" s="262"/>
      <c r="D2" s="262"/>
      <c r="E2" s="262"/>
      <c r="F2" s="262"/>
      <c r="G2" s="262"/>
      <c r="H2" s="262"/>
      <c r="I2" s="262"/>
      <c r="J2" s="262"/>
      <c r="K2" s="262"/>
      <c r="L2" s="262"/>
    </row>
    <row r="3" spans="2:12" s="1" customFormat="1" ht="31.15" customHeight="1" thickBot="1">
      <c r="B3" s="227" t="s">
        <v>87</v>
      </c>
      <c r="C3" s="227"/>
      <c r="D3" s="227"/>
      <c r="E3" s="227"/>
      <c r="F3" s="227"/>
      <c r="G3" s="227"/>
      <c r="H3" s="227"/>
      <c r="I3" s="227"/>
      <c r="J3" s="227"/>
      <c r="K3" s="227"/>
      <c r="L3" s="227"/>
    </row>
    <row r="4" spans="2:12" s="1" customFormat="1" ht="39" customHeight="1" thickBot="1">
      <c r="B4" s="263" t="s">
        <v>88</v>
      </c>
      <c r="C4" s="263"/>
      <c r="D4" s="263"/>
      <c r="E4" s="263"/>
      <c r="F4" s="263"/>
      <c r="G4" s="263"/>
      <c r="H4" s="263"/>
      <c r="I4" s="263"/>
      <c r="J4" s="263"/>
      <c r="K4" s="263"/>
      <c r="L4" s="263"/>
    </row>
    <row r="5" spans="2:12" s="2" customFormat="1" ht="28.5" customHeight="1" thickBot="1">
      <c r="B5" s="4" t="s">
        <v>89</v>
      </c>
      <c r="C5" s="261"/>
      <c r="D5" s="261"/>
      <c r="E5" s="261"/>
      <c r="F5" s="261"/>
      <c r="G5" s="261"/>
      <c r="H5" s="261"/>
      <c r="I5" s="261"/>
      <c r="J5" s="261"/>
      <c r="K5" s="261"/>
      <c r="L5" s="261"/>
    </row>
    <row r="6" spans="2:12" s="2" customFormat="1" ht="28.5" customHeight="1" thickBot="1">
      <c r="B6" s="4" t="s">
        <v>90</v>
      </c>
      <c r="C6" s="261"/>
      <c r="D6" s="261"/>
      <c r="E6" s="261"/>
      <c r="F6" s="261"/>
      <c r="G6" s="261"/>
      <c r="H6" s="261"/>
      <c r="I6" s="261"/>
      <c r="J6" s="261"/>
      <c r="K6" s="261"/>
      <c r="L6" s="261"/>
    </row>
    <row r="7" spans="2:12" s="2" customFormat="1" ht="28.5" customHeight="1" thickBot="1">
      <c r="B7" s="4" t="s">
        <v>91</v>
      </c>
      <c r="C7" s="261"/>
      <c r="D7" s="261"/>
      <c r="E7" s="261"/>
      <c r="F7" s="261"/>
      <c r="G7" s="261"/>
      <c r="H7" s="261"/>
      <c r="I7" s="261"/>
      <c r="J7" s="261"/>
      <c r="K7" s="261"/>
      <c r="L7" s="261"/>
    </row>
    <row r="8" spans="2:12" s="2" customFormat="1" ht="28.5" customHeight="1" thickBot="1">
      <c r="B8" s="4" t="s">
        <v>92</v>
      </c>
      <c r="C8" s="261"/>
      <c r="D8" s="261"/>
      <c r="E8" s="261"/>
      <c r="F8" s="261"/>
      <c r="G8" s="261"/>
      <c r="H8" s="261"/>
      <c r="I8" s="261"/>
      <c r="J8" s="261"/>
      <c r="K8" s="261"/>
      <c r="L8" s="261"/>
    </row>
    <row r="9" spans="2:12" s="2" customFormat="1" ht="28.5" customHeight="1" thickBot="1">
      <c r="B9" s="4" t="s">
        <v>93</v>
      </c>
      <c r="C9" s="261"/>
      <c r="D9" s="261"/>
      <c r="E9" s="261"/>
      <c r="F9" s="261"/>
      <c r="G9" s="261"/>
      <c r="H9" s="261"/>
      <c r="I9" s="261"/>
      <c r="J9" s="261"/>
      <c r="K9" s="261"/>
      <c r="L9" s="261"/>
    </row>
    <row r="10" spans="2:12" s="2" customFormat="1" ht="28.5" customHeight="1" thickBot="1">
      <c r="B10" s="4" t="s">
        <v>23</v>
      </c>
      <c r="C10" s="261"/>
      <c r="D10" s="261"/>
      <c r="E10" s="261"/>
      <c r="F10" s="261"/>
      <c r="G10" s="261"/>
      <c r="H10" s="261"/>
      <c r="I10" s="261"/>
      <c r="J10" s="261"/>
      <c r="K10" s="261"/>
      <c r="L10" s="261"/>
    </row>
    <row r="11" spans="2:12" ht="8.65" customHeight="1">
      <c r="B11" s="12"/>
      <c r="C11" s="12"/>
      <c r="D11" s="12"/>
      <c r="E11" s="12"/>
      <c r="F11" s="12"/>
      <c r="G11" s="12"/>
      <c r="H11" s="12"/>
      <c r="I11" s="12"/>
      <c r="J11" s="12"/>
      <c r="K11" s="12"/>
      <c r="L11" s="12"/>
    </row>
    <row r="12" spans="2:12" ht="8.65" customHeight="1">
      <c r="B12" s="12"/>
      <c r="C12" s="12"/>
      <c r="D12" s="12"/>
      <c r="E12" s="12"/>
      <c r="F12" s="12"/>
      <c r="G12" s="12"/>
      <c r="H12" s="12"/>
      <c r="I12" s="12"/>
      <c r="J12" s="12"/>
      <c r="K12" s="12"/>
      <c r="L12" s="12"/>
    </row>
    <row r="13" spans="2:12" ht="31.15" customHeight="1" thickBot="1">
      <c r="B13" s="227" t="s">
        <v>94</v>
      </c>
      <c r="C13" s="227"/>
      <c r="D13" s="227"/>
      <c r="E13" s="227"/>
      <c r="F13" s="227"/>
      <c r="G13" s="227"/>
      <c r="H13" s="227"/>
      <c r="I13" s="227"/>
      <c r="J13" s="227"/>
      <c r="K13" s="227"/>
      <c r="L13" s="227"/>
    </row>
    <row r="14" spans="2:12" s="1" customFormat="1" ht="90.6" customHeight="1" thickBot="1">
      <c r="B14" s="260" t="s">
        <v>95</v>
      </c>
      <c r="C14" s="260"/>
      <c r="D14" s="260"/>
      <c r="E14" s="260"/>
      <c r="F14" s="260"/>
      <c r="G14" s="260"/>
      <c r="H14" s="260"/>
      <c r="I14" s="260"/>
      <c r="J14" s="260"/>
      <c r="K14" s="260"/>
      <c r="L14" s="260"/>
    </row>
    <row r="15" spans="2:12" ht="79.5" customHeight="1" thickBot="1">
      <c r="B15" s="5" t="s">
        <v>96</v>
      </c>
      <c r="C15" s="258"/>
      <c r="D15" s="259"/>
      <c r="E15" s="259"/>
      <c r="F15" s="259"/>
      <c r="G15" s="259"/>
      <c r="H15" s="259"/>
      <c r="I15" s="259"/>
      <c r="J15" s="259"/>
      <c r="K15" s="259"/>
      <c r="L15" s="259"/>
    </row>
    <row r="16" spans="2:12" ht="79.5" customHeight="1" thickBot="1">
      <c r="B16" s="5" t="s">
        <v>97</v>
      </c>
      <c r="C16" s="258"/>
      <c r="D16" s="259"/>
      <c r="E16" s="259"/>
      <c r="F16" s="259"/>
      <c r="G16" s="259"/>
      <c r="H16" s="259"/>
      <c r="I16" s="259"/>
      <c r="J16" s="259"/>
      <c r="K16" s="259"/>
      <c r="L16" s="259"/>
    </row>
    <row r="17" spans="2:12" ht="79.5" customHeight="1" thickBot="1">
      <c r="B17" s="5" t="s">
        <v>98</v>
      </c>
      <c r="C17" s="258"/>
      <c r="D17" s="259"/>
      <c r="E17" s="259"/>
      <c r="F17" s="259"/>
      <c r="G17" s="259"/>
      <c r="H17" s="259"/>
      <c r="I17" s="259"/>
      <c r="J17" s="259"/>
      <c r="K17" s="259"/>
      <c r="L17" s="259"/>
    </row>
    <row r="18" spans="2:12" ht="79.5" customHeight="1" thickBot="1">
      <c r="B18" s="5" t="s">
        <v>99</v>
      </c>
      <c r="C18" s="258"/>
      <c r="D18" s="259"/>
      <c r="E18" s="259"/>
      <c r="F18" s="259"/>
      <c r="G18" s="259"/>
      <c r="H18" s="259"/>
      <c r="I18" s="259"/>
      <c r="J18" s="259"/>
      <c r="K18" s="259"/>
      <c r="L18" s="259"/>
    </row>
    <row r="19" spans="2:12">
      <c r="B19" s="18"/>
      <c r="C19" s="18"/>
      <c r="D19" s="18"/>
      <c r="E19" s="18"/>
      <c r="F19" s="18"/>
      <c r="G19" s="18"/>
      <c r="H19" s="18"/>
      <c r="I19" s="18"/>
      <c r="J19" s="18"/>
      <c r="K19" s="18"/>
      <c r="L19" s="18"/>
    </row>
    <row r="20" spans="2:12">
      <c r="B20" s="18"/>
      <c r="C20" s="18"/>
      <c r="D20" s="18"/>
      <c r="E20" s="18"/>
      <c r="F20" s="18"/>
      <c r="G20" s="18"/>
      <c r="H20" s="18"/>
      <c r="I20" s="18"/>
      <c r="J20" s="18"/>
      <c r="K20" s="18"/>
      <c r="L20" s="18"/>
    </row>
    <row r="21" spans="2:12">
      <c r="B21" s="18"/>
      <c r="C21" s="18"/>
      <c r="D21" s="18"/>
      <c r="E21" s="18"/>
      <c r="F21" s="18"/>
      <c r="G21" s="18"/>
      <c r="H21" s="18"/>
      <c r="I21" s="18"/>
      <c r="J21" s="18"/>
      <c r="K21" s="18"/>
      <c r="L21" s="18"/>
    </row>
    <row r="22" spans="2:12">
      <c r="B22" s="18"/>
      <c r="C22" s="18"/>
      <c r="D22" s="18"/>
      <c r="E22" s="18"/>
      <c r="F22" s="18"/>
      <c r="G22" s="18"/>
      <c r="H22" s="18"/>
      <c r="I22" s="18"/>
      <c r="J22" s="18"/>
      <c r="K22" s="18"/>
      <c r="L22" s="18"/>
    </row>
    <row r="23" spans="2:12">
      <c r="B23" s="18"/>
      <c r="C23" s="18"/>
      <c r="D23" s="18"/>
      <c r="E23" s="18"/>
      <c r="F23" s="18"/>
      <c r="G23" s="18"/>
      <c r="H23" s="18"/>
      <c r="I23" s="18"/>
      <c r="J23" s="18"/>
      <c r="K23" s="18"/>
      <c r="L23" s="18"/>
    </row>
    <row r="24" spans="2:12">
      <c r="B24" s="18"/>
      <c r="C24" s="18"/>
      <c r="D24" s="18"/>
      <c r="E24" s="18"/>
      <c r="F24" s="18"/>
      <c r="G24" s="18"/>
      <c r="H24" s="18"/>
      <c r="I24" s="18"/>
      <c r="J24" s="18"/>
      <c r="K24" s="18"/>
      <c r="L24" s="18"/>
    </row>
    <row r="25" spans="2:12">
      <c r="B25" s="18"/>
      <c r="C25" s="18"/>
      <c r="D25" s="18"/>
      <c r="E25" s="18"/>
      <c r="F25" s="18"/>
      <c r="G25" s="18"/>
      <c r="H25" s="18"/>
      <c r="I25" s="18"/>
      <c r="J25" s="18"/>
      <c r="K25" s="18"/>
      <c r="L25" s="18"/>
    </row>
    <row r="26" spans="2:12">
      <c r="B26" s="18"/>
      <c r="C26" s="18"/>
      <c r="D26" s="18"/>
      <c r="E26" s="18"/>
      <c r="F26" s="18"/>
      <c r="G26" s="18"/>
      <c r="H26" s="18"/>
      <c r="I26" s="18"/>
      <c r="J26" s="18"/>
      <c r="K26" s="18"/>
      <c r="L26" s="18"/>
    </row>
    <row r="27" spans="2:12">
      <c r="B27" s="18"/>
      <c r="C27" s="18"/>
      <c r="D27" s="18"/>
      <c r="E27" s="18"/>
      <c r="F27" s="18"/>
      <c r="G27" s="18"/>
      <c r="H27" s="18"/>
      <c r="I27" s="18"/>
      <c r="J27" s="18"/>
      <c r="K27" s="18"/>
      <c r="L27" s="18"/>
    </row>
    <row r="28" spans="2:12">
      <c r="B28" s="18"/>
      <c r="C28" s="18"/>
      <c r="D28" s="18"/>
      <c r="E28" s="18"/>
      <c r="F28" s="18"/>
      <c r="G28" s="18"/>
      <c r="H28" s="18"/>
      <c r="I28" s="18"/>
      <c r="J28" s="18"/>
      <c r="K28" s="18"/>
      <c r="L28" s="18"/>
    </row>
  </sheetData>
  <sheetProtection algorithmName="SHA-512" hashValue="2lYhtaidRYJLPe/NiFTRPV4+C9XTLbYzWo+GKrkNWFNPi5cc9YeqFXuvWL1YD1nBy73d5gt6NnP/s4CTBFNB3A==" saltValue="B9whDeGg2pg2+6gIkPhIfA==" spinCount="100000" sheet="1" objects="1" scenarios="1"/>
  <mergeCells count="16">
    <mergeCell ref="C6:L6"/>
    <mergeCell ref="B1:L1"/>
    <mergeCell ref="B2:L2"/>
    <mergeCell ref="B3:L3"/>
    <mergeCell ref="B4:L4"/>
    <mergeCell ref="C5:L5"/>
    <mergeCell ref="C7:L7"/>
    <mergeCell ref="C8:L8"/>
    <mergeCell ref="C9:L9"/>
    <mergeCell ref="C10:L10"/>
    <mergeCell ref="B13:L13"/>
    <mergeCell ref="C15:L15"/>
    <mergeCell ref="C16:L16"/>
    <mergeCell ref="C17:L17"/>
    <mergeCell ref="C18:L18"/>
    <mergeCell ref="B14:L14"/>
  </mergeCells>
  <dataValidations count="1">
    <dataValidation operator="greaterThan" allowBlank="1" showInputMessage="1" showErrorMessage="1" sqref="C10:L10" xr:uid="{B667E721-AC8A-4686-9810-1CEEF7CA837C}"/>
  </dataValidations>
  <pageMargins left="0.39370078740157483" right="0.39370078740157483" top="0.39370078740157483" bottom="0.39370078740157483" header="0.19685039370078741" footer="0"/>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10BD-1CEA-4FB0-82EC-B24D5CC28E6B}">
  <sheetPr codeName="Sheet4">
    <tabColor theme="4"/>
    <pageSetUpPr fitToPage="1"/>
  </sheetPr>
  <dimension ref="B1:N24"/>
  <sheetViews>
    <sheetView showGridLines="0" showWhiteSpace="0" zoomScale="80" zoomScaleNormal="80" zoomScalePageLayoutView="90" workbookViewId="0"/>
  </sheetViews>
  <sheetFormatPr defaultColWidth="9.21875" defaultRowHeight="14.45"/>
  <cols>
    <col min="1" max="1" width="3.44140625" style="18" customWidth="1"/>
    <col min="2" max="2" width="44.109375" style="39" customWidth="1"/>
    <col min="3" max="6" width="32" style="39" customWidth="1"/>
    <col min="7" max="7" width="9.21875" style="18"/>
    <col min="8" max="9" width="7.33203125" style="18"/>
    <col min="10" max="10" width="11.33203125" style="18" bestFit="1" customWidth="1"/>
    <col min="11" max="11" width="9.44140625" style="18" bestFit="1" customWidth="1"/>
    <col min="12" max="16384" width="9.21875" style="18"/>
  </cols>
  <sheetData>
    <row r="1" spans="2:14" s="29" customFormat="1" ht="46.15" customHeight="1">
      <c r="B1" s="225" t="s">
        <v>100</v>
      </c>
      <c r="C1" s="225"/>
      <c r="D1" s="225"/>
      <c r="E1" s="225"/>
      <c r="F1" s="225"/>
      <c r="G1" s="225"/>
      <c r="H1" s="225"/>
      <c r="I1" s="225"/>
      <c r="J1" s="225"/>
      <c r="K1" s="225"/>
      <c r="L1" s="225"/>
      <c r="M1" s="225"/>
      <c r="N1" s="225"/>
    </row>
    <row r="2" spans="2:14" ht="7.15" customHeight="1">
      <c r="B2" s="272"/>
      <c r="C2" s="272"/>
      <c r="D2" s="272"/>
      <c r="E2" s="272"/>
      <c r="F2" s="272"/>
      <c r="G2" s="272"/>
      <c r="H2" s="272"/>
      <c r="I2" s="272"/>
      <c r="J2" s="272"/>
      <c r="K2" s="272"/>
      <c r="L2" s="272"/>
      <c r="M2" s="272"/>
      <c r="N2" s="272"/>
    </row>
    <row r="3" spans="2:14" ht="172.5" customHeight="1">
      <c r="B3" s="260" t="s">
        <v>101</v>
      </c>
      <c r="C3" s="260"/>
      <c r="D3" s="260"/>
      <c r="E3" s="260"/>
      <c r="F3" s="260"/>
    </row>
    <row r="4" spans="2:14" ht="8.25" customHeight="1" thickBot="1">
      <c r="B4" s="8"/>
      <c r="C4" s="8"/>
      <c r="D4" s="8"/>
      <c r="E4" s="8"/>
      <c r="F4" s="8"/>
    </row>
    <row r="5" spans="2:14" ht="34.5" customHeight="1" thickBot="1">
      <c r="B5" s="116" t="s">
        <v>102</v>
      </c>
      <c r="C5" s="11"/>
      <c r="D5" s="270" t="s">
        <v>103</v>
      </c>
      <c r="E5" s="271"/>
      <c r="F5" s="11"/>
    </row>
    <row r="6" spans="2:14" ht="8.65" customHeight="1">
      <c r="B6" s="10"/>
      <c r="C6" s="41"/>
      <c r="D6" s="10"/>
      <c r="E6" s="10"/>
      <c r="F6" s="10"/>
    </row>
    <row r="7" spans="2:14" s="37" customFormat="1" ht="36" customHeight="1" thickBot="1">
      <c r="B7" s="227" t="s">
        <v>104</v>
      </c>
      <c r="C7" s="227"/>
      <c r="D7" s="227"/>
      <c r="E7" s="227"/>
      <c r="F7" s="227"/>
    </row>
    <row r="8" spans="2:14" s="37" customFormat="1" ht="12.75" customHeight="1" thickBot="1">
      <c r="B8" s="28"/>
      <c r="C8" s="28"/>
      <c r="D8" s="28"/>
      <c r="E8" s="28"/>
      <c r="F8" s="28"/>
    </row>
    <row r="9" spans="2:14" s="37" customFormat="1" ht="40.15" customHeight="1" thickBot="1">
      <c r="B9" s="28"/>
      <c r="C9" s="267" t="s">
        <v>105</v>
      </c>
      <c r="D9" s="268"/>
      <c r="E9" s="268"/>
      <c r="F9" s="269"/>
    </row>
    <row r="10" spans="2:14" s="38" customFormat="1" ht="40.15" customHeight="1" thickBot="1">
      <c r="B10" s="4" t="s">
        <v>106</v>
      </c>
      <c r="C10" s="106"/>
      <c r="D10" s="106"/>
      <c r="E10" s="106"/>
      <c r="F10" s="106"/>
    </row>
    <row r="11" spans="2:14" s="38" customFormat="1" ht="37.5" customHeight="1" thickBot="1">
      <c r="B11" s="5" t="s">
        <v>107</v>
      </c>
      <c r="C11" s="107"/>
      <c r="D11" s="107"/>
      <c r="E11" s="107"/>
      <c r="F11" s="107"/>
    </row>
    <row r="12" spans="2:14" s="38" customFormat="1" ht="37.5" customHeight="1" thickBot="1">
      <c r="B12" s="5" t="s">
        <v>108</v>
      </c>
      <c r="C12" s="106"/>
      <c r="D12" s="106"/>
      <c r="E12" s="106"/>
      <c r="F12" s="106"/>
    </row>
    <row r="13" spans="2:14" s="38" customFormat="1" ht="37.5" customHeight="1" thickBot="1">
      <c r="B13" s="5" t="s">
        <v>109</v>
      </c>
      <c r="C13" s="106"/>
      <c r="D13" s="106"/>
      <c r="E13" s="106"/>
      <c r="F13" s="106"/>
    </row>
    <row r="14" spans="2:14" s="38" customFormat="1" ht="84" customHeight="1" thickBot="1">
      <c r="B14" s="5" t="s">
        <v>110</v>
      </c>
      <c r="C14" s="106"/>
      <c r="D14" s="106"/>
      <c r="E14" s="106"/>
      <c r="F14" s="106"/>
    </row>
    <row r="15" spans="2:14" s="38" customFormat="1" ht="40.15" customHeight="1" thickBot="1">
      <c r="B15" s="5" t="s">
        <v>111</v>
      </c>
      <c r="C15" s="106"/>
      <c r="D15" s="106"/>
      <c r="E15" s="106"/>
      <c r="F15" s="106"/>
    </row>
    <row r="16" spans="2:14" s="38" customFormat="1" ht="40.15" customHeight="1" thickBot="1">
      <c r="B16" s="5" t="s">
        <v>112</v>
      </c>
      <c r="C16" s="106"/>
      <c r="D16" s="106"/>
      <c r="E16" s="106"/>
      <c r="F16" s="106"/>
    </row>
    <row r="17" spans="2:6" s="38" customFormat="1" ht="40.15" customHeight="1" thickBot="1">
      <c r="B17" s="5" t="s">
        <v>113</v>
      </c>
      <c r="C17" s="106"/>
      <c r="D17" s="106"/>
      <c r="E17" s="106"/>
      <c r="F17" s="106"/>
    </row>
    <row r="18" spans="2:6" s="38" customFormat="1" ht="40.15" customHeight="1" thickBot="1">
      <c r="B18" s="5" t="s">
        <v>114</v>
      </c>
      <c r="C18" s="106"/>
      <c r="D18" s="106"/>
      <c r="E18" s="106"/>
      <c r="F18" s="106"/>
    </row>
    <row r="19" spans="2:6" s="38" customFormat="1" ht="39" customHeight="1" thickBot="1">
      <c r="B19" s="6" t="s">
        <v>115</v>
      </c>
      <c r="C19" s="7"/>
      <c r="D19" s="7"/>
      <c r="E19" s="7"/>
      <c r="F19" s="7"/>
    </row>
    <row r="20" spans="2:6" s="38" customFormat="1" ht="9.75" customHeight="1" thickBot="1">
      <c r="B20" s="6"/>
      <c r="C20" s="7"/>
      <c r="D20" s="7"/>
      <c r="E20" s="7"/>
      <c r="F20" s="7"/>
    </row>
    <row r="21" spans="2:6" s="37" customFormat="1" ht="64.5" customHeight="1" thickBot="1">
      <c r="B21" s="5" t="s">
        <v>116</v>
      </c>
      <c r="C21" s="264"/>
      <c r="D21" s="265"/>
      <c r="E21" s="265"/>
      <c r="F21" s="266"/>
    </row>
    <row r="22" spans="2:6" s="37" customFormat="1" ht="40.15" customHeight="1" thickBot="1">
      <c r="B22" s="5" t="s">
        <v>117</v>
      </c>
      <c r="C22" s="264"/>
      <c r="D22" s="265"/>
      <c r="E22" s="265"/>
      <c r="F22" s="266"/>
    </row>
    <row r="23" spans="2:6" s="38" customFormat="1" ht="39" customHeight="1">
      <c r="B23" s="39"/>
      <c r="C23" s="39"/>
      <c r="D23" s="39"/>
      <c r="E23" s="39"/>
      <c r="F23" s="39"/>
    </row>
    <row r="24" spans="2:6" s="38" customFormat="1" ht="39" customHeight="1">
      <c r="B24" s="39"/>
      <c r="C24" s="39"/>
      <c r="D24" s="39"/>
      <c r="E24" s="39"/>
      <c r="F24" s="39"/>
    </row>
  </sheetData>
  <sheetProtection algorithmName="SHA-512" hashValue="NlLQ8JtYrXz3VQec8X4gu4/wzYVywp63sHkNp2Q1wqqn+FudqsU9EIWQByIOH5Sox+d6bcDapDK/d4k08d7trg==" saltValue="TCZG3kjHdqQgEegt66kLAw==" spinCount="100000" sheet="1" objects="1" scenarios="1"/>
  <mergeCells count="8">
    <mergeCell ref="C21:F21"/>
    <mergeCell ref="C22:F22"/>
    <mergeCell ref="C9:F9"/>
    <mergeCell ref="D5:E5"/>
    <mergeCell ref="B1:N1"/>
    <mergeCell ref="B2:N2"/>
    <mergeCell ref="B3:F3"/>
    <mergeCell ref="B7:F7"/>
  </mergeCells>
  <conditionalFormatting sqref="F5">
    <cfRule type="containsText" dxfId="50" priority="3" operator="containsText" text="N/A">
      <formula>NOT(ISERROR(SEARCH("N/A",F5)))</formula>
    </cfRule>
    <cfRule type="containsText" dxfId="49" priority="4" operator="containsText" text="NO">
      <formula>NOT(ISERROR(SEARCH("NO",F5)))</formula>
    </cfRule>
    <cfRule type="containsText" dxfId="48" priority="5" operator="containsText" text="PARTIAL">
      <formula>NOT(ISERROR(SEARCH("PARTIAL",F5)))</formula>
    </cfRule>
    <cfRule type="containsText" dxfId="47" priority="6" operator="containsText" text="YES">
      <formula>NOT(ISERROR(SEARCH("YES",F5)))</formula>
    </cfRule>
  </conditionalFormatting>
  <dataValidations count="1">
    <dataValidation operator="greaterThan" allowBlank="1" showInputMessage="1" showErrorMessage="1" sqref="C17:F18" xr:uid="{318C5889-9421-4706-9562-10E4558E8B56}"/>
  </dataValidations>
  <pageMargins left="0.39370078740157483" right="0.39370078740157483" top="0.39370078740157483" bottom="0.39370078740157483" header="0.19685039370078741" footer="0"/>
  <pageSetup scale="6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32BB9C6-C29F-446F-B69A-4014D12FA55E}">
          <x14:formula1>
            <xm:f>SheetData!$B$12:$B$15</xm:f>
          </x14:formula1>
          <xm:sqref>F5 C6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B2160-9C88-467D-A110-0062C65D2F6B}">
  <sheetPr codeName="Sheet5">
    <tabColor theme="4"/>
    <pageSetUpPr fitToPage="1"/>
  </sheetPr>
  <dimension ref="B1:K32"/>
  <sheetViews>
    <sheetView showGridLines="0" showWhiteSpace="0" zoomScale="80" zoomScaleNormal="80" zoomScalePageLayoutView="90" workbookViewId="0"/>
  </sheetViews>
  <sheetFormatPr defaultColWidth="9.21875" defaultRowHeight="14.45"/>
  <cols>
    <col min="1" max="1" width="3.44140625" style="18" customWidth="1"/>
    <col min="2" max="2" width="44.33203125" style="39" customWidth="1"/>
    <col min="3" max="5" width="23" style="39" customWidth="1"/>
    <col min="6" max="6" width="9.77734375" style="18" customWidth="1"/>
    <col min="7" max="10" width="15" style="18" customWidth="1"/>
    <col min="11" max="16384" width="9.21875" style="18"/>
  </cols>
  <sheetData>
    <row r="1" spans="2:11" s="36" customFormat="1" ht="46.15" customHeight="1">
      <c r="B1" s="225" t="s">
        <v>118</v>
      </c>
      <c r="C1" s="225"/>
      <c r="D1" s="225"/>
      <c r="E1" s="225"/>
      <c r="F1" s="225"/>
      <c r="G1" s="225"/>
      <c r="H1" s="225"/>
      <c r="I1" s="225"/>
      <c r="J1" s="225"/>
      <c r="K1" s="85"/>
    </row>
    <row r="2" spans="2:11" ht="11.65" customHeight="1">
      <c r="B2" s="272"/>
      <c r="C2" s="272"/>
      <c r="D2" s="272"/>
      <c r="E2" s="272"/>
      <c r="F2" s="272"/>
      <c r="G2" s="272"/>
      <c r="H2" s="272"/>
      <c r="I2" s="272"/>
      <c r="J2" s="272"/>
    </row>
    <row r="3" spans="2:11" ht="296.10000000000002" customHeight="1" thickBot="1">
      <c r="B3" s="294" t="s">
        <v>119</v>
      </c>
      <c r="C3" s="294"/>
      <c r="D3" s="294"/>
      <c r="E3" s="294"/>
      <c r="F3" s="294"/>
      <c r="G3" s="294"/>
      <c r="H3" s="294"/>
      <c r="I3" s="294"/>
      <c r="J3" s="294"/>
    </row>
    <row r="4" spans="2:11" ht="44.65" customHeight="1" thickBot="1">
      <c r="B4" s="132" t="s">
        <v>120</v>
      </c>
      <c r="C4" s="19"/>
      <c r="D4" s="21"/>
      <c r="E4" s="18"/>
      <c r="G4" s="285" t="s">
        <v>121</v>
      </c>
      <c r="H4" s="285"/>
      <c r="I4" s="285"/>
      <c r="J4" s="285"/>
      <c r="K4" s="22"/>
    </row>
    <row r="5" spans="2:11" s="37" customFormat="1" ht="51.75" customHeight="1" thickBot="1">
      <c r="B5" s="227" t="s">
        <v>122</v>
      </c>
      <c r="C5" s="227"/>
      <c r="D5" s="227"/>
      <c r="E5" s="227"/>
      <c r="G5" s="286"/>
      <c r="H5" s="286"/>
      <c r="I5" s="286"/>
      <c r="J5" s="286"/>
      <c r="K5" s="22"/>
    </row>
    <row r="6" spans="2:11" s="38" customFormat="1" ht="48" customHeight="1" thickBot="1">
      <c r="B6" s="5" t="s">
        <v>123</v>
      </c>
      <c r="C6" s="239"/>
      <c r="D6" s="293"/>
      <c r="E6" s="240"/>
      <c r="G6" s="89" t="s">
        <v>124</v>
      </c>
      <c r="H6" s="84" t="s">
        <v>125</v>
      </c>
      <c r="I6" s="84" t="s">
        <v>126</v>
      </c>
      <c r="J6" s="90" t="s">
        <v>127</v>
      </c>
    </row>
    <row r="7" spans="2:11" s="38" customFormat="1" ht="48" customHeight="1" thickBot="1">
      <c r="B7" s="5" t="s">
        <v>128</v>
      </c>
      <c r="C7" s="295">
        <f>SUM(Blocks[Area (ha)])</f>
        <v>0</v>
      </c>
      <c r="D7" s="296"/>
      <c r="E7" s="297"/>
      <c r="G7" s="86"/>
      <c r="H7" s="50"/>
      <c r="I7" s="50"/>
      <c r="J7" s="88"/>
    </row>
    <row r="8" spans="2:11" s="38" customFormat="1" ht="48" customHeight="1" thickBot="1">
      <c r="B8" s="5" t="s">
        <v>129</v>
      </c>
      <c r="C8" s="239"/>
      <c r="D8" s="293"/>
      <c r="E8" s="240"/>
      <c r="G8" s="87"/>
      <c r="H8" s="50"/>
      <c r="I8" s="50"/>
      <c r="J8" s="88"/>
    </row>
    <row r="9" spans="2:11" s="38" customFormat="1" ht="48" customHeight="1" thickBot="1">
      <c r="B9" s="5" t="s">
        <v>130</v>
      </c>
      <c r="C9" s="239"/>
      <c r="D9" s="293"/>
      <c r="E9" s="240"/>
      <c r="G9" s="87"/>
      <c r="H9" s="50"/>
      <c r="I9" s="50"/>
      <c r="J9" s="88"/>
    </row>
    <row r="10" spans="2:11" s="38" customFormat="1" ht="48" customHeight="1" thickBot="1">
      <c r="B10" s="6" t="s">
        <v>131</v>
      </c>
      <c r="C10" s="7"/>
      <c r="D10" s="7"/>
      <c r="E10" s="7"/>
      <c r="G10" s="86"/>
      <c r="H10" s="50"/>
      <c r="I10" s="50"/>
      <c r="J10" s="88"/>
    </row>
    <row r="11" spans="2:11" s="37" customFormat="1" ht="48" customHeight="1" thickBot="1">
      <c r="B11" s="5" t="s">
        <v>65</v>
      </c>
      <c r="C11" s="239"/>
      <c r="D11" s="293"/>
      <c r="E11" s="240"/>
      <c r="G11" s="87"/>
      <c r="H11" s="50"/>
      <c r="I11" s="50"/>
      <c r="J11" s="88"/>
    </row>
    <row r="12" spans="2:11" s="38" customFormat="1" ht="48" customHeight="1" thickBot="1">
      <c r="B12" s="5" t="s">
        <v>132</v>
      </c>
      <c r="C12" s="239"/>
      <c r="D12" s="293"/>
      <c r="E12" s="240"/>
      <c r="G12" s="87"/>
      <c r="H12" s="50"/>
      <c r="I12" s="50"/>
      <c r="J12" s="88"/>
    </row>
    <row r="13" spans="2:11" s="38" customFormat="1" ht="48" customHeight="1" thickBot="1">
      <c r="B13" s="5" t="s">
        <v>133</v>
      </c>
      <c r="C13" s="239"/>
      <c r="D13" s="293"/>
      <c r="E13" s="240"/>
      <c r="G13" s="87"/>
      <c r="H13" s="50"/>
      <c r="I13" s="50"/>
      <c r="J13" s="88"/>
    </row>
    <row r="14" spans="2:11" s="38" customFormat="1" ht="48" customHeight="1" thickBot="1">
      <c r="B14" s="5" t="s">
        <v>134</v>
      </c>
      <c r="C14" s="239"/>
      <c r="D14" s="293"/>
      <c r="E14" s="240"/>
      <c r="G14" s="87"/>
      <c r="H14" s="50"/>
      <c r="I14" s="50"/>
      <c r="J14" s="88"/>
    </row>
    <row r="15" spans="2:11" s="38" customFormat="1" ht="48" customHeight="1" thickBot="1">
      <c r="B15" s="6" t="s">
        <v>135</v>
      </c>
      <c r="C15" s="7"/>
      <c r="D15" s="7"/>
      <c r="E15" s="7"/>
      <c r="G15" s="87"/>
      <c r="H15" s="50"/>
      <c r="I15" s="50"/>
      <c r="J15" s="88"/>
    </row>
    <row r="16" spans="2:11" s="38" customFormat="1" ht="48" customHeight="1" thickBot="1">
      <c r="B16" s="273" t="s">
        <v>136</v>
      </c>
      <c r="C16" s="287"/>
      <c r="D16" s="288"/>
      <c r="E16" s="289"/>
      <c r="F16" s="37"/>
      <c r="G16" s="86"/>
      <c r="H16" s="50"/>
      <c r="I16" s="50"/>
      <c r="J16" s="88"/>
    </row>
    <row r="17" spans="2:10" s="38" customFormat="1" ht="48" customHeight="1" thickBot="1">
      <c r="B17" s="275"/>
      <c r="C17" s="290"/>
      <c r="D17" s="291"/>
      <c r="E17" s="292"/>
      <c r="G17" s="87"/>
      <c r="H17" s="50"/>
      <c r="I17" s="50"/>
      <c r="J17" s="88"/>
    </row>
    <row r="18" spans="2:10" s="38" customFormat="1" ht="48" customHeight="1" thickBot="1">
      <c r="B18" s="6" t="s">
        <v>137</v>
      </c>
      <c r="C18" s="7"/>
      <c r="D18" s="7"/>
      <c r="E18" s="7"/>
      <c r="G18" s="87"/>
      <c r="H18" s="50"/>
      <c r="I18" s="50"/>
      <c r="J18" s="88"/>
    </row>
    <row r="19" spans="2:10" s="38" customFormat="1" ht="48" customHeight="1" thickBot="1">
      <c r="B19" s="273" t="s">
        <v>138</v>
      </c>
      <c r="C19" s="276"/>
      <c r="D19" s="277"/>
      <c r="E19" s="278"/>
      <c r="F19" s="37"/>
      <c r="G19" s="86"/>
      <c r="H19" s="50"/>
      <c r="I19" s="50"/>
      <c r="J19" s="88"/>
    </row>
    <row r="20" spans="2:10" s="37" customFormat="1" ht="48" customHeight="1" thickBot="1">
      <c r="B20" s="274"/>
      <c r="C20" s="279"/>
      <c r="D20" s="280"/>
      <c r="E20" s="281"/>
      <c r="F20" s="38"/>
      <c r="G20" s="86"/>
      <c r="H20" s="50"/>
      <c r="I20" s="50"/>
      <c r="J20" s="88"/>
    </row>
    <row r="21" spans="2:10" s="38" customFormat="1" ht="48" customHeight="1" thickBot="1">
      <c r="B21" s="275"/>
      <c r="C21" s="282"/>
      <c r="D21" s="283"/>
      <c r="E21" s="284"/>
      <c r="G21" s="86"/>
      <c r="H21" s="50"/>
      <c r="I21" s="50"/>
      <c r="J21" s="88"/>
    </row>
    <row r="22" spans="2:10" s="38" customFormat="1" ht="48" customHeight="1" thickBot="1">
      <c r="B22" s="6" t="s">
        <v>139</v>
      </c>
      <c r="C22" s="7"/>
      <c r="D22" s="7"/>
      <c r="E22" s="7"/>
      <c r="G22" s="86"/>
      <c r="H22" s="50"/>
      <c r="I22" s="50"/>
      <c r="J22" s="88"/>
    </row>
    <row r="23" spans="2:10" s="37" customFormat="1" ht="48" customHeight="1" thickBot="1">
      <c r="B23" s="273" t="s">
        <v>140</v>
      </c>
      <c r="C23" s="276"/>
      <c r="D23" s="277"/>
      <c r="E23" s="278"/>
      <c r="G23" s="87"/>
      <c r="H23" s="50"/>
      <c r="I23" s="50"/>
      <c r="J23" s="88"/>
    </row>
    <row r="24" spans="2:10" s="38" customFormat="1" ht="48" customHeight="1" thickBot="1">
      <c r="B24" s="274"/>
      <c r="C24" s="279"/>
      <c r="D24" s="280"/>
      <c r="E24" s="281"/>
      <c r="F24" s="37"/>
      <c r="G24" s="87"/>
      <c r="H24" s="50"/>
      <c r="I24" s="50"/>
      <c r="J24" s="88"/>
    </row>
    <row r="25" spans="2:10" s="38" customFormat="1" ht="48" customHeight="1" thickBot="1">
      <c r="B25" s="275"/>
      <c r="C25" s="279"/>
      <c r="D25" s="280"/>
      <c r="E25" s="281"/>
      <c r="G25" s="86"/>
      <c r="H25" s="50"/>
      <c r="I25" s="50"/>
      <c r="J25" s="88"/>
    </row>
    <row r="26" spans="2:10" s="38" customFormat="1" ht="48" customHeight="1" thickBot="1">
      <c r="B26" s="273" t="s">
        <v>141</v>
      </c>
      <c r="C26" s="276"/>
      <c r="D26" s="277"/>
      <c r="E26" s="278"/>
      <c r="G26" s="87"/>
      <c r="H26" s="50"/>
      <c r="I26" s="50"/>
      <c r="J26" s="88"/>
    </row>
    <row r="27" spans="2:10" s="37" customFormat="1" ht="48" customHeight="1" thickBot="1">
      <c r="B27" s="274"/>
      <c r="C27" s="279"/>
      <c r="D27" s="280"/>
      <c r="E27" s="281"/>
      <c r="F27" s="38"/>
      <c r="G27" s="87"/>
      <c r="H27" s="50"/>
      <c r="I27" s="50"/>
      <c r="J27" s="88"/>
    </row>
    <row r="28" spans="2:10" s="37" customFormat="1" ht="48" customHeight="1" thickBot="1">
      <c r="B28" s="274"/>
      <c r="C28" s="279"/>
      <c r="D28" s="280"/>
      <c r="E28" s="281"/>
      <c r="F28" s="18"/>
      <c r="G28" s="87"/>
      <c r="H28" s="50"/>
      <c r="I28" s="50"/>
      <c r="J28" s="88"/>
    </row>
    <row r="29" spans="2:10" s="38" customFormat="1" ht="48" customHeight="1" thickBot="1">
      <c r="B29" s="274"/>
      <c r="C29" s="279"/>
      <c r="D29" s="280"/>
      <c r="E29" s="281"/>
      <c r="F29" s="18"/>
      <c r="G29" s="87"/>
      <c r="H29" s="50"/>
      <c r="I29" s="50"/>
      <c r="J29" s="88"/>
    </row>
    <row r="30" spans="2:10" s="38" customFormat="1" ht="46.5" customHeight="1" thickBot="1">
      <c r="B30" s="274"/>
      <c r="C30" s="279"/>
      <c r="D30" s="280"/>
      <c r="E30" s="281"/>
      <c r="F30" s="18"/>
      <c r="G30" s="86"/>
      <c r="H30" s="50"/>
      <c r="I30" s="50"/>
      <c r="J30" s="88"/>
    </row>
    <row r="31" spans="2:10" s="38" customFormat="1" ht="46.5" customHeight="1" thickBot="1">
      <c r="B31" s="275"/>
      <c r="C31" s="282"/>
      <c r="D31" s="283"/>
      <c r="E31" s="284"/>
      <c r="F31" s="18"/>
      <c r="G31" s="91"/>
      <c r="H31" s="92"/>
      <c r="I31" s="92"/>
      <c r="J31" s="93"/>
    </row>
    <row r="32" spans="2:10">
      <c r="C32" s="40"/>
      <c r="D32" s="40"/>
      <c r="E32" s="40"/>
    </row>
  </sheetData>
  <sheetProtection algorithmName="SHA-512" hashValue="OM1xoMFuQZ4+CtR6eHP0VFU0zpe2MdtmVKAzwCjs6IIEQPQkjqLfuqGRO4Lo/rHtVgg0itDmS4v546C5tfIqBw==" saltValue="OXJKY+qcgLIpjWWhBkWlqw==" spinCount="100000" sheet="1" objects="1" scenarios="1"/>
  <mergeCells count="21">
    <mergeCell ref="C8:E8"/>
    <mergeCell ref="C9:E9"/>
    <mergeCell ref="C11:E11"/>
    <mergeCell ref="B23:B25"/>
    <mergeCell ref="C23:E25"/>
    <mergeCell ref="B26:B31"/>
    <mergeCell ref="C26:E31"/>
    <mergeCell ref="B1:J1"/>
    <mergeCell ref="G4:J5"/>
    <mergeCell ref="B16:B17"/>
    <mergeCell ref="C16:E17"/>
    <mergeCell ref="B19:B21"/>
    <mergeCell ref="C19:E21"/>
    <mergeCell ref="C13:E13"/>
    <mergeCell ref="C14:E14"/>
    <mergeCell ref="B5:E5"/>
    <mergeCell ref="C12:E12"/>
    <mergeCell ref="C6:E6"/>
    <mergeCell ref="B2:J2"/>
    <mergeCell ref="B3:J3"/>
    <mergeCell ref="C7:E7"/>
  </mergeCells>
  <phoneticPr fontId="11" type="noConversion"/>
  <conditionalFormatting sqref="C4">
    <cfRule type="containsText" dxfId="46" priority="1" operator="containsText" text="N/A">
      <formula>NOT(ISERROR(SEARCH("N/A",C4)))</formula>
    </cfRule>
    <cfRule type="containsText" dxfId="45" priority="2" operator="containsText" text="NO">
      <formula>NOT(ISERROR(SEARCH("NO",C4)))</formula>
    </cfRule>
    <cfRule type="containsText" dxfId="44" priority="3" operator="containsText" text="PARTIAL">
      <formula>NOT(ISERROR(SEARCH("PARTIAL",C4)))</formula>
    </cfRule>
    <cfRule type="containsText" dxfId="43" priority="4" operator="containsText" text="YES">
      <formula>NOT(ISERROR(SEARCH("YES",C4)))</formula>
    </cfRule>
  </conditionalFormatting>
  <pageMargins left="0.39370078740157483" right="0.39370078740157483" top="0.39370078740157483" bottom="0.39370078740157483" header="0.19685039370078741" footer="0"/>
  <pageSetup scale="47" fitToHeight="0" orientation="portrait" r:id="rId1"/>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397FDC29-3EA4-46A8-BD3E-F1AF3C6316FC}">
          <x14:formula1>
            <xm:f>SheetData!$B$12:$B$14</xm:f>
          </x14:formula1>
          <xm:sqref>C4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4A7E1-AC27-44CA-9685-A87D63F87FA4}">
  <sheetPr codeName="Sheet6">
    <tabColor theme="4"/>
    <pageSetUpPr fitToPage="1"/>
  </sheetPr>
  <dimension ref="B1:AG305"/>
  <sheetViews>
    <sheetView showGridLines="0" zoomScale="80" zoomScaleNormal="80" workbookViewId="0">
      <pane xSplit="8" ySplit="5" topLeftCell="I6" activePane="bottomRight" state="frozen"/>
      <selection pane="bottomRight"/>
      <selection pane="bottomLeft" activeCell="A6" sqref="A6"/>
      <selection pane="topRight" activeCell="I1" sqref="I1"/>
    </sheetView>
  </sheetViews>
  <sheetFormatPr defaultColWidth="9.21875" defaultRowHeight="14.45"/>
  <cols>
    <col min="1" max="1" width="3.44140625" style="18" customWidth="1"/>
    <col min="2" max="2" width="7.33203125" style="30" customWidth="1"/>
    <col min="3" max="3" width="14.33203125" style="18" customWidth="1"/>
    <col min="4" max="4" width="17" style="18" customWidth="1"/>
    <col min="5" max="5" width="14.6640625" style="18" customWidth="1"/>
    <col min="6" max="7" width="14.33203125" style="18" customWidth="1"/>
    <col min="8" max="8" width="30.6640625" style="18" customWidth="1"/>
    <col min="9" max="9" width="22.33203125" style="18" customWidth="1"/>
    <col min="10" max="10" width="18.44140625" style="18" customWidth="1"/>
    <col min="11" max="11" width="5.6640625" style="75" hidden="1" customWidth="1"/>
    <col min="12" max="14" width="15.33203125" style="18" customWidth="1"/>
    <col min="15" max="15" width="15.33203125" style="18" hidden="1" customWidth="1"/>
    <col min="16" max="17" width="15.33203125" style="18" customWidth="1"/>
    <col min="18" max="18" width="18.6640625" style="18" hidden="1" customWidth="1"/>
    <col min="19" max="19" width="41.6640625" style="18" customWidth="1"/>
    <col min="20" max="20" width="11.33203125" style="18" customWidth="1"/>
    <col min="21" max="21" width="12.21875" style="18" hidden="1" customWidth="1"/>
    <col min="22" max="27" width="9.21875" style="18" hidden="1" customWidth="1"/>
    <col min="28" max="28" width="10.21875" style="99" hidden="1" customWidth="1"/>
    <col min="29" max="33" width="9.21875" style="18" hidden="1" customWidth="1"/>
    <col min="34" max="34" width="0" style="18" hidden="1" customWidth="1"/>
    <col min="35" max="16384" width="9.21875" style="18"/>
  </cols>
  <sheetData>
    <row r="1" spans="2:33" s="29" customFormat="1" ht="46.15" customHeight="1">
      <c r="B1" s="225" t="s">
        <v>142</v>
      </c>
      <c r="C1" s="225"/>
      <c r="D1" s="225"/>
      <c r="E1" s="225"/>
      <c r="F1" s="225"/>
      <c r="G1" s="225"/>
      <c r="H1" s="225"/>
      <c r="I1" s="225"/>
      <c r="J1" s="225"/>
      <c r="K1" s="225"/>
      <c r="L1" s="225"/>
      <c r="M1" s="225"/>
      <c r="N1" s="225"/>
      <c r="O1" s="225"/>
      <c r="P1" s="225"/>
      <c r="Q1" s="225"/>
      <c r="R1" s="225"/>
      <c r="S1" s="225"/>
      <c r="AB1" s="100"/>
    </row>
    <row r="2" spans="2:33" ht="9" customHeight="1"/>
    <row r="3" spans="2:33" ht="156.94999999999999" customHeight="1" thickBot="1">
      <c r="B3" s="226" t="s">
        <v>143</v>
      </c>
      <c r="C3" s="226"/>
      <c r="D3" s="226"/>
      <c r="E3" s="226"/>
      <c r="F3" s="226"/>
      <c r="G3" s="226"/>
      <c r="H3" s="226"/>
      <c r="I3" s="102"/>
      <c r="J3" s="102"/>
    </row>
    <row r="4" spans="2:33" ht="31.5" customHeight="1" thickBot="1">
      <c r="B4" s="298"/>
      <c r="C4" s="298"/>
      <c r="D4" s="298"/>
      <c r="E4" s="298"/>
      <c r="F4" s="298"/>
      <c r="G4" s="298"/>
      <c r="H4" s="298"/>
      <c r="I4" s="299" t="s">
        <v>144</v>
      </c>
      <c r="J4" s="300"/>
      <c r="K4" s="300"/>
      <c r="L4" s="300"/>
      <c r="M4" s="300"/>
      <c r="N4" s="300"/>
      <c r="O4" s="300"/>
      <c r="P4" s="300"/>
      <c r="Q4" s="300"/>
      <c r="R4" s="300"/>
      <c r="S4" s="301"/>
    </row>
    <row r="5" spans="2:33" s="31" customFormat="1" ht="82.5" customHeight="1" thickBot="1">
      <c r="B5" s="54" t="s">
        <v>145</v>
      </c>
      <c r="C5" s="15" t="s">
        <v>146</v>
      </c>
      <c r="D5" s="15" t="s">
        <v>124</v>
      </c>
      <c r="E5" s="26" t="s">
        <v>147</v>
      </c>
      <c r="F5" s="15" t="s">
        <v>148</v>
      </c>
      <c r="G5" s="26" t="s">
        <v>149</v>
      </c>
      <c r="H5" s="15" t="s">
        <v>150</v>
      </c>
      <c r="I5" s="84" t="s">
        <v>151</v>
      </c>
      <c r="J5" s="84" t="s">
        <v>152</v>
      </c>
      <c r="K5" s="76" t="s">
        <v>153</v>
      </c>
      <c r="L5" s="84" t="s">
        <v>154</v>
      </c>
      <c r="M5" s="84" t="s">
        <v>155</v>
      </c>
      <c r="N5" s="84" t="s">
        <v>156</v>
      </c>
      <c r="O5" s="84" t="s">
        <v>157</v>
      </c>
      <c r="P5" s="84" t="s">
        <v>158</v>
      </c>
      <c r="Q5" s="84" t="s">
        <v>159</v>
      </c>
      <c r="R5" s="90" t="s">
        <v>160</v>
      </c>
      <c r="S5" s="90" t="s">
        <v>161</v>
      </c>
      <c r="U5" s="31" t="s">
        <v>146</v>
      </c>
      <c r="V5" s="31" t="s">
        <v>162</v>
      </c>
      <c r="W5" s="31" t="s">
        <v>163</v>
      </c>
      <c r="X5" s="31" t="s">
        <v>164</v>
      </c>
      <c r="Y5" s="31" t="s">
        <v>157</v>
      </c>
      <c r="Z5" s="31" t="s">
        <v>160</v>
      </c>
      <c r="AB5" s="101" t="s">
        <v>165</v>
      </c>
      <c r="AC5" s="31" t="s">
        <v>166</v>
      </c>
      <c r="AD5" s="31" t="s">
        <v>167</v>
      </c>
      <c r="AE5" s="31" t="s">
        <v>168</v>
      </c>
      <c r="AF5" s="31" t="s">
        <v>169</v>
      </c>
      <c r="AG5" s="31" t="s">
        <v>170</v>
      </c>
    </row>
    <row r="6" spans="2:33" ht="35.1" customHeight="1" thickBot="1">
      <c r="B6" s="54">
        <v>1</v>
      </c>
      <c r="C6" s="32"/>
      <c r="D6" s="33"/>
      <c r="E6" s="104" t="str">
        <f>IF(Applications[[#This Row],[Block ID]]="","",(_xlfn.XLOOKUP(Applications[[#This Row],[Block ID]],Blocks[Block ID],Blocks[Area (ha)],"")))</f>
        <v/>
      </c>
      <c r="F6" s="33"/>
      <c r="G6" s="105" t="str">
        <f t="shared" ref="G6:G69" si="0">IFERROR((IF(F6="","",((F6*1000)/(E6*10000)))),"")</f>
        <v/>
      </c>
      <c r="H6" s="33"/>
      <c r="I6" s="33"/>
      <c r="J6" s="33"/>
      <c r="K6" s="77"/>
      <c r="L6" s="33"/>
      <c r="M6" s="33"/>
      <c r="N6" s="23" t="str">
        <f t="shared" ref="N6:N69" si="1">IFERROR((L6*M6/1000/E6),"")</f>
        <v/>
      </c>
      <c r="O6" s="23">
        <f>Applications[[#This Row],[Nitrogen concentration in drain solution
 (ppm or mg/L)]]*Applications[[#This Row],[Volume of solution applied
(m3)]]/1000</f>
        <v>0</v>
      </c>
      <c r="P6" s="33"/>
      <c r="Q6" s="23" t="str">
        <f t="shared" ref="Q6:Q69" si="2">IFERROR((L6*P6/1000/E6),"")</f>
        <v/>
      </c>
      <c r="R6" s="98">
        <f>Applications[[#This Row],[Phosphorus concentration in drain solution
(ppm or mg/L)]]*Applications[[#This Row],[Volume of solution applied
(m3)]]/1000</f>
        <v>0</v>
      </c>
      <c r="S6" s="65"/>
      <c r="U6" s="99" t="str">
        <f>IF(Applications[[#This Row],[Date]]="","",Applications[[#This Row],[Date]])</f>
        <v/>
      </c>
      <c r="V6" s="18" t="str">
        <f>IF(Applications[[#This Row],[Volume of solution applied
(m3)]]="","",Applications[[#This Row],[Volume of solution applied
(m3)]])</f>
        <v/>
      </c>
      <c r="W6" s="18" t="str" cm="1">
        <f t="array" ref="W6:W305">IF(Applications[Block ID]="","",Applications[Block ID])</f>
        <v/>
      </c>
      <c r="X6" s="18" t="str" cm="1">
        <f t="array" ref="X6:X305">IF(Applications[Application area
(ha)]="","",Applications[Application area
(ha)])</f>
        <v/>
      </c>
      <c r="Y6" s="18" cm="1">
        <f t="array" ref="Y6:Y305">IF(Applications[kgN]="","",Applications[kgN])</f>
        <v>0</v>
      </c>
      <c r="Z6" s="18" cm="1">
        <f t="array" ref="Z6:Z305">IF(Applications[kgP]="","",Applications[kgP])</f>
        <v>0</v>
      </c>
      <c r="AB6" s="99" t="e" cm="1" vm="1">
        <f t="array" ref="AB6">_xlfn._xlws.FILTER(U:Z, (U:U&gt;='5. Reporting dashboard'!$S$18)*(U:U&lt;='5. Reporting dashboard'!$S$20))</f>
        <v>#VALUE!</v>
      </c>
    </row>
    <row r="7" spans="2:33" ht="35.1" customHeight="1" thickBot="1">
      <c r="B7" s="54">
        <v>2</v>
      </c>
      <c r="C7" s="32"/>
      <c r="D7" s="33"/>
      <c r="E7" s="104" t="str">
        <f>IF(Applications[[#This Row],[Block ID]]="","",(_xlfn.XLOOKUP(Applications[[#This Row],[Block ID]],Blocks[Block ID],Blocks[Area (ha)],"")))</f>
        <v/>
      </c>
      <c r="F7" s="33"/>
      <c r="G7" s="105" t="str">
        <f t="shared" si="0"/>
        <v/>
      </c>
      <c r="H7" s="33"/>
      <c r="I7" s="33"/>
      <c r="J7" s="33"/>
      <c r="K7" s="77"/>
      <c r="L7" s="33"/>
      <c r="M7" s="33"/>
      <c r="N7" s="23" t="str">
        <f t="shared" si="1"/>
        <v/>
      </c>
      <c r="O7" s="23">
        <f>Applications[[#This Row],[Nitrogen concentration in drain solution
 (ppm or mg/L)]]*Applications[[#This Row],[Volume of solution applied
(m3)]]/1000</f>
        <v>0</v>
      </c>
      <c r="P7" s="33"/>
      <c r="Q7" s="23" t="str">
        <f t="shared" si="2"/>
        <v/>
      </c>
      <c r="R7" s="98">
        <f>Applications[[#This Row],[Phosphorus concentration in drain solution
(ppm or mg/L)]]*Applications[[#This Row],[Volume of solution applied
(m3)]]/1000</f>
        <v>0</v>
      </c>
      <c r="S7" s="65"/>
      <c r="U7" s="99" t="str">
        <f>IF(Applications[[#This Row],[Date]]="","",Applications[[#This Row],[Date]])</f>
        <v/>
      </c>
      <c r="V7" s="18" t="str">
        <f>IF(Applications[[#This Row],[Volume of solution applied
(m3)]]="","",Applications[[#This Row],[Volume of solution applied
(m3)]])</f>
        <v/>
      </c>
      <c r="W7" s="18" t="str">
        <v/>
      </c>
      <c r="X7" s="18" t="str">
        <v/>
      </c>
      <c r="Y7" s="18">
        <v>0</v>
      </c>
      <c r="Z7" s="18">
        <v>0</v>
      </c>
    </row>
    <row r="8" spans="2:33" ht="35.1" customHeight="1" thickBot="1">
      <c r="B8" s="54">
        <v>3</v>
      </c>
      <c r="C8" s="32"/>
      <c r="D8" s="33"/>
      <c r="E8" s="104" t="str">
        <f>IF(Applications[[#This Row],[Block ID]]="","",(_xlfn.XLOOKUP(Applications[[#This Row],[Block ID]],Blocks[Block ID],Blocks[Area (ha)],"")))</f>
        <v/>
      </c>
      <c r="F8" s="33"/>
      <c r="G8" s="105" t="str">
        <f t="shared" si="0"/>
        <v/>
      </c>
      <c r="H8" s="33"/>
      <c r="I8" s="33"/>
      <c r="J8" s="33"/>
      <c r="K8" s="77"/>
      <c r="L8" s="33"/>
      <c r="M8" s="33"/>
      <c r="N8" s="23" t="str">
        <f t="shared" si="1"/>
        <v/>
      </c>
      <c r="O8" s="23">
        <f>Applications[[#This Row],[Nitrogen concentration in drain solution
 (ppm or mg/L)]]*Applications[[#This Row],[Volume of solution applied
(m3)]]/1000</f>
        <v>0</v>
      </c>
      <c r="P8" s="33"/>
      <c r="Q8" s="23" t="str">
        <f t="shared" si="2"/>
        <v/>
      </c>
      <c r="R8" s="98">
        <f>Applications[[#This Row],[Phosphorus concentration in drain solution
(ppm or mg/L)]]*Applications[[#This Row],[Volume of solution applied
(m3)]]/1000</f>
        <v>0</v>
      </c>
      <c r="S8" s="65"/>
      <c r="U8" s="99" t="str">
        <f>IF(Applications[[#This Row],[Date]]="","",Applications[[#This Row],[Date]])</f>
        <v/>
      </c>
      <c r="V8" s="18" t="str">
        <f>IF(Applications[[#This Row],[Volume of solution applied
(m3)]]="","",Applications[[#This Row],[Volume of solution applied
(m3)]])</f>
        <v/>
      </c>
      <c r="W8" s="18" t="str">
        <v/>
      </c>
      <c r="X8" s="18" t="str">
        <v/>
      </c>
      <c r="Y8" s="18">
        <v>0</v>
      </c>
      <c r="Z8" s="18">
        <v>0</v>
      </c>
    </row>
    <row r="9" spans="2:33" ht="35.1" customHeight="1" thickBot="1">
      <c r="B9" s="54">
        <v>4</v>
      </c>
      <c r="C9" s="32"/>
      <c r="D9" s="33"/>
      <c r="E9" s="104" t="str">
        <f>IF(Applications[[#This Row],[Block ID]]="","",(_xlfn.XLOOKUP(Applications[[#This Row],[Block ID]],Blocks[Block ID],Blocks[Area (ha)],"")))</f>
        <v/>
      </c>
      <c r="F9" s="33"/>
      <c r="G9" s="105" t="str">
        <f t="shared" si="0"/>
        <v/>
      </c>
      <c r="H9" s="33"/>
      <c r="I9" s="33"/>
      <c r="J9" s="33"/>
      <c r="K9" s="77"/>
      <c r="L9" s="33"/>
      <c r="M9" s="33"/>
      <c r="N9" s="23" t="str">
        <f t="shared" si="1"/>
        <v/>
      </c>
      <c r="O9" s="23">
        <f>Applications[[#This Row],[Nitrogen concentration in drain solution
 (ppm or mg/L)]]*Applications[[#This Row],[Volume of solution applied
(m3)]]/1000</f>
        <v>0</v>
      </c>
      <c r="P9" s="33"/>
      <c r="Q9" s="23" t="str">
        <f t="shared" si="2"/>
        <v/>
      </c>
      <c r="R9" s="98">
        <f>Applications[[#This Row],[Phosphorus concentration in drain solution
(ppm or mg/L)]]*Applications[[#This Row],[Volume of solution applied
(m3)]]/1000</f>
        <v>0</v>
      </c>
      <c r="S9" s="65"/>
      <c r="U9" s="99" t="str">
        <f>IF(Applications[[#This Row],[Date]]="","",Applications[[#This Row],[Date]])</f>
        <v/>
      </c>
      <c r="V9" s="18" t="str">
        <f>IF(Applications[[#This Row],[Volume of solution applied
(m3)]]="","",Applications[[#This Row],[Volume of solution applied
(m3)]])</f>
        <v/>
      </c>
      <c r="W9" s="18" t="str">
        <v/>
      </c>
      <c r="X9" s="18" t="str">
        <v/>
      </c>
      <c r="Y9" s="18">
        <v>0</v>
      </c>
      <c r="Z9" s="18">
        <v>0</v>
      </c>
    </row>
    <row r="10" spans="2:33" ht="35.1" customHeight="1" thickBot="1">
      <c r="B10" s="54">
        <v>5</v>
      </c>
      <c r="C10" s="32"/>
      <c r="D10" s="33"/>
      <c r="E10" s="104" t="str">
        <f>IF(Applications[[#This Row],[Block ID]]="","",(_xlfn.XLOOKUP(Applications[[#This Row],[Block ID]],Blocks[Block ID],Blocks[Area (ha)],"")))</f>
        <v/>
      </c>
      <c r="F10" s="33"/>
      <c r="G10" s="105" t="str">
        <f t="shared" si="0"/>
        <v/>
      </c>
      <c r="H10" s="33"/>
      <c r="I10" s="33"/>
      <c r="J10" s="33"/>
      <c r="K10" s="77"/>
      <c r="L10" s="33"/>
      <c r="M10" s="33"/>
      <c r="N10" s="23" t="str">
        <f t="shared" si="1"/>
        <v/>
      </c>
      <c r="O10" s="23">
        <f>Applications[[#This Row],[Nitrogen concentration in drain solution
 (ppm or mg/L)]]*Applications[[#This Row],[Volume of solution applied
(m3)]]/1000</f>
        <v>0</v>
      </c>
      <c r="P10" s="33"/>
      <c r="Q10" s="23" t="str">
        <f t="shared" si="2"/>
        <v/>
      </c>
      <c r="R10" s="98">
        <f>Applications[[#This Row],[Phosphorus concentration in drain solution
(ppm or mg/L)]]*Applications[[#This Row],[Volume of solution applied
(m3)]]/1000</f>
        <v>0</v>
      </c>
      <c r="S10" s="65"/>
      <c r="U10" s="99" t="str">
        <f>IF(Applications[[#This Row],[Date]]="","",Applications[[#This Row],[Date]])</f>
        <v/>
      </c>
      <c r="V10" s="18" t="str">
        <f>IF(Applications[[#This Row],[Volume of solution applied
(m3)]]="","",Applications[[#This Row],[Volume of solution applied
(m3)]])</f>
        <v/>
      </c>
      <c r="W10" s="18" t="str">
        <v/>
      </c>
      <c r="X10" s="18" t="str">
        <v/>
      </c>
      <c r="Y10" s="18">
        <v>0</v>
      </c>
      <c r="Z10" s="18">
        <v>0</v>
      </c>
    </row>
    <row r="11" spans="2:33" ht="35.1" customHeight="1" thickBot="1">
      <c r="B11" s="54">
        <v>6</v>
      </c>
      <c r="C11" s="32"/>
      <c r="D11" s="33"/>
      <c r="E11" s="104" t="str">
        <f>IF(Applications[[#This Row],[Block ID]]="","",(_xlfn.XLOOKUP(Applications[[#This Row],[Block ID]],Blocks[Block ID],Blocks[Area (ha)],"")))</f>
        <v/>
      </c>
      <c r="F11" s="33"/>
      <c r="G11" s="105" t="str">
        <f t="shared" si="0"/>
        <v/>
      </c>
      <c r="H11" s="33"/>
      <c r="I11" s="33"/>
      <c r="J11" s="33"/>
      <c r="K11" s="77"/>
      <c r="L11" s="33"/>
      <c r="M11" s="33"/>
      <c r="N11" s="23" t="str">
        <f t="shared" si="1"/>
        <v/>
      </c>
      <c r="O11" s="23">
        <f>Applications[[#This Row],[Nitrogen concentration in drain solution
 (ppm or mg/L)]]*Applications[[#This Row],[Volume of solution applied
(m3)]]/1000</f>
        <v>0</v>
      </c>
      <c r="P11" s="33"/>
      <c r="Q11" s="23" t="str">
        <f t="shared" si="2"/>
        <v/>
      </c>
      <c r="R11" s="98">
        <f>Applications[[#This Row],[Phosphorus concentration in drain solution
(ppm or mg/L)]]*Applications[[#This Row],[Volume of solution applied
(m3)]]/1000</f>
        <v>0</v>
      </c>
      <c r="S11" s="65"/>
      <c r="U11" s="99" t="str">
        <f>IF(Applications[[#This Row],[Date]]="","",Applications[[#This Row],[Date]])</f>
        <v/>
      </c>
      <c r="V11" s="18" t="str">
        <f>IF(Applications[[#This Row],[Volume of solution applied
(m3)]]="","",Applications[[#This Row],[Volume of solution applied
(m3)]])</f>
        <v/>
      </c>
      <c r="W11" s="18" t="str">
        <v/>
      </c>
      <c r="X11" s="18" t="str">
        <v/>
      </c>
      <c r="Y11" s="18">
        <v>0</v>
      </c>
      <c r="Z11" s="18">
        <v>0</v>
      </c>
    </row>
    <row r="12" spans="2:33" ht="35.1" customHeight="1" thickBot="1">
      <c r="B12" s="54">
        <v>7</v>
      </c>
      <c r="C12" s="32"/>
      <c r="D12" s="33"/>
      <c r="E12" s="104" t="str">
        <f>IF(Applications[[#This Row],[Block ID]]="","",(_xlfn.XLOOKUP(Applications[[#This Row],[Block ID]],Blocks[Block ID],Blocks[Area (ha)],"")))</f>
        <v/>
      </c>
      <c r="F12" s="33"/>
      <c r="G12" s="105" t="str">
        <f t="shared" si="0"/>
        <v/>
      </c>
      <c r="H12" s="33"/>
      <c r="I12" s="33"/>
      <c r="J12" s="33"/>
      <c r="K12" s="77"/>
      <c r="L12" s="33"/>
      <c r="M12" s="33"/>
      <c r="N12" s="23" t="str">
        <f t="shared" si="1"/>
        <v/>
      </c>
      <c r="O12" s="23">
        <f>Applications[[#This Row],[Nitrogen concentration in drain solution
 (ppm or mg/L)]]*Applications[[#This Row],[Volume of solution applied
(m3)]]/1000</f>
        <v>0</v>
      </c>
      <c r="P12" s="33"/>
      <c r="Q12" s="23" t="str">
        <f t="shared" si="2"/>
        <v/>
      </c>
      <c r="R12" s="98">
        <f>Applications[[#This Row],[Phosphorus concentration in drain solution
(ppm or mg/L)]]*Applications[[#This Row],[Volume of solution applied
(m3)]]/1000</f>
        <v>0</v>
      </c>
      <c r="S12" s="65"/>
      <c r="U12" s="99" t="str">
        <f>IF(Applications[[#This Row],[Date]]="","",Applications[[#This Row],[Date]])</f>
        <v/>
      </c>
      <c r="V12" s="18" t="str">
        <f>IF(Applications[[#This Row],[Volume of solution applied
(m3)]]="","",Applications[[#This Row],[Volume of solution applied
(m3)]])</f>
        <v/>
      </c>
      <c r="W12" s="18" t="str">
        <v/>
      </c>
      <c r="X12" s="18" t="str">
        <v/>
      </c>
      <c r="Y12" s="18">
        <v>0</v>
      </c>
      <c r="Z12" s="18">
        <v>0</v>
      </c>
    </row>
    <row r="13" spans="2:33" ht="35.1" customHeight="1" thickBot="1">
      <c r="B13" s="54">
        <v>8</v>
      </c>
      <c r="C13" s="32"/>
      <c r="D13" s="33"/>
      <c r="E13" s="104" t="str">
        <f>IF(Applications[[#This Row],[Block ID]]="","",(_xlfn.XLOOKUP(Applications[[#This Row],[Block ID]],Blocks[Block ID],Blocks[Area (ha)],"")))</f>
        <v/>
      </c>
      <c r="F13" s="33"/>
      <c r="G13" s="105" t="str">
        <f t="shared" si="0"/>
        <v/>
      </c>
      <c r="H13" s="33"/>
      <c r="I13" s="33"/>
      <c r="J13" s="33"/>
      <c r="K13" s="77"/>
      <c r="L13" s="33"/>
      <c r="M13" s="33"/>
      <c r="N13" s="23" t="str">
        <f t="shared" si="1"/>
        <v/>
      </c>
      <c r="O13" s="23">
        <f>Applications[[#This Row],[Nitrogen concentration in drain solution
 (ppm or mg/L)]]*Applications[[#This Row],[Volume of solution applied
(m3)]]/1000</f>
        <v>0</v>
      </c>
      <c r="P13" s="33"/>
      <c r="Q13" s="23" t="str">
        <f t="shared" si="2"/>
        <v/>
      </c>
      <c r="R13" s="98">
        <f>Applications[[#This Row],[Phosphorus concentration in drain solution
(ppm or mg/L)]]*Applications[[#This Row],[Volume of solution applied
(m3)]]/1000</f>
        <v>0</v>
      </c>
      <c r="S13" s="65"/>
      <c r="U13" s="99" t="str">
        <f>IF(Applications[[#This Row],[Date]]="","",Applications[[#This Row],[Date]])</f>
        <v/>
      </c>
      <c r="V13" s="18" t="str">
        <f>IF(Applications[[#This Row],[Volume of solution applied
(m3)]]="","",Applications[[#This Row],[Volume of solution applied
(m3)]])</f>
        <v/>
      </c>
      <c r="W13" s="18" t="str">
        <v/>
      </c>
      <c r="X13" s="18" t="str">
        <v/>
      </c>
      <c r="Y13" s="18">
        <v>0</v>
      </c>
      <c r="Z13" s="18">
        <v>0</v>
      </c>
    </row>
    <row r="14" spans="2:33" ht="35.1" customHeight="1" thickBot="1">
      <c r="B14" s="54">
        <v>9</v>
      </c>
      <c r="C14" s="32"/>
      <c r="D14" s="33"/>
      <c r="E14" s="104" t="str">
        <f>IF(Applications[[#This Row],[Block ID]]="","",(_xlfn.XLOOKUP(Applications[[#This Row],[Block ID]],Blocks[Block ID],Blocks[Area (ha)],"")))</f>
        <v/>
      </c>
      <c r="F14" s="33"/>
      <c r="G14" s="105" t="str">
        <f t="shared" si="0"/>
        <v/>
      </c>
      <c r="H14" s="33"/>
      <c r="I14" s="33"/>
      <c r="J14" s="33"/>
      <c r="K14" s="77"/>
      <c r="L14" s="33"/>
      <c r="M14" s="33"/>
      <c r="N14" s="23" t="str">
        <f t="shared" si="1"/>
        <v/>
      </c>
      <c r="O14" s="23">
        <f>Applications[[#This Row],[Nitrogen concentration in drain solution
 (ppm or mg/L)]]*Applications[[#This Row],[Volume of solution applied
(m3)]]/1000</f>
        <v>0</v>
      </c>
      <c r="P14" s="33"/>
      <c r="Q14" s="23" t="str">
        <f t="shared" si="2"/>
        <v/>
      </c>
      <c r="R14" s="98">
        <f>Applications[[#This Row],[Phosphorus concentration in drain solution
(ppm or mg/L)]]*Applications[[#This Row],[Volume of solution applied
(m3)]]/1000</f>
        <v>0</v>
      </c>
      <c r="S14" s="65"/>
      <c r="U14" s="99" t="str">
        <f>IF(Applications[[#This Row],[Date]]="","",Applications[[#This Row],[Date]])</f>
        <v/>
      </c>
      <c r="V14" s="18" t="str">
        <f>IF(Applications[[#This Row],[Volume of solution applied
(m3)]]="","",Applications[[#This Row],[Volume of solution applied
(m3)]])</f>
        <v/>
      </c>
      <c r="W14" s="18" t="str">
        <v/>
      </c>
      <c r="X14" s="18" t="str">
        <v/>
      </c>
      <c r="Y14" s="18">
        <v>0</v>
      </c>
      <c r="Z14" s="18">
        <v>0</v>
      </c>
    </row>
    <row r="15" spans="2:33" ht="35.1" customHeight="1" thickBot="1">
      <c r="B15" s="54">
        <v>10</v>
      </c>
      <c r="C15" s="32"/>
      <c r="D15" s="33"/>
      <c r="E15" s="104" t="str">
        <f>IF(Applications[[#This Row],[Block ID]]="","",(_xlfn.XLOOKUP(Applications[[#This Row],[Block ID]],Blocks[Block ID],Blocks[Area (ha)],"")))</f>
        <v/>
      </c>
      <c r="F15" s="33"/>
      <c r="G15" s="105" t="str">
        <f t="shared" si="0"/>
        <v/>
      </c>
      <c r="H15" s="33"/>
      <c r="I15" s="33"/>
      <c r="J15" s="33"/>
      <c r="K15" s="77"/>
      <c r="L15" s="33"/>
      <c r="M15" s="33"/>
      <c r="N15" s="23" t="str">
        <f t="shared" si="1"/>
        <v/>
      </c>
      <c r="O15" s="23">
        <f>Applications[[#This Row],[Nitrogen concentration in drain solution
 (ppm or mg/L)]]*Applications[[#This Row],[Volume of solution applied
(m3)]]/1000</f>
        <v>0</v>
      </c>
      <c r="P15" s="33"/>
      <c r="Q15" s="23" t="str">
        <f t="shared" si="2"/>
        <v/>
      </c>
      <c r="R15" s="98">
        <f>Applications[[#This Row],[Phosphorus concentration in drain solution
(ppm or mg/L)]]*Applications[[#This Row],[Volume of solution applied
(m3)]]/1000</f>
        <v>0</v>
      </c>
      <c r="S15" s="65"/>
      <c r="U15" s="99" t="str">
        <f>IF(Applications[[#This Row],[Date]]="","",Applications[[#This Row],[Date]])</f>
        <v/>
      </c>
      <c r="V15" s="18" t="str">
        <f>IF(Applications[[#This Row],[Volume of solution applied
(m3)]]="","",Applications[[#This Row],[Volume of solution applied
(m3)]])</f>
        <v/>
      </c>
      <c r="W15" s="18" t="str">
        <v/>
      </c>
      <c r="X15" s="18" t="str">
        <v/>
      </c>
      <c r="Y15" s="18">
        <v>0</v>
      </c>
      <c r="Z15" s="18">
        <v>0</v>
      </c>
    </row>
    <row r="16" spans="2:33" ht="35.1" customHeight="1" thickBot="1">
      <c r="B16" s="54">
        <v>11</v>
      </c>
      <c r="C16" s="32"/>
      <c r="D16" s="33"/>
      <c r="E16" s="104" t="str">
        <f>IF(Applications[[#This Row],[Block ID]]="","",(_xlfn.XLOOKUP(Applications[[#This Row],[Block ID]],Blocks[Block ID],Blocks[Area (ha)],"")))</f>
        <v/>
      </c>
      <c r="F16" s="33"/>
      <c r="G16" s="105" t="str">
        <f t="shared" si="0"/>
        <v/>
      </c>
      <c r="H16" s="33"/>
      <c r="I16" s="33"/>
      <c r="J16" s="33"/>
      <c r="K16" s="77"/>
      <c r="L16" s="33"/>
      <c r="M16" s="33"/>
      <c r="N16" s="23" t="str">
        <f t="shared" si="1"/>
        <v/>
      </c>
      <c r="O16" s="23">
        <f>Applications[[#This Row],[Nitrogen concentration in drain solution
 (ppm or mg/L)]]*Applications[[#This Row],[Volume of solution applied
(m3)]]/1000</f>
        <v>0</v>
      </c>
      <c r="P16" s="33"/>
      <c r="Q16" s="23" t="str">
        <f t="shared" si="2"/>
        <v/>
      </c>
      <c r="R16" s="98">
        <f>Applications[[#This Row],[Phosphorus concentration in drain solution
(ppm or mg/L)]]*Applications[[#This Row],[Volume of solution applied
(m3)]]/1000</f>
        <v>0</v>
      </c>
      <c r="S16" s="65"/>
      <c r="U16" s="99" t="str">
        <f>IF(Applications[[#This Row],[Date]]="","",Applications[[#This Row],[Date]])</f>
        <v/>
      </c>
      <c r="V16" s="18" t="str">
        <f>IF(Applications[[#This Row],[Volume of solution applied
(m3)]]="","",Applications[[#This Row],[Volume of solution applied
(m3)]])</f>
        <v/>
      </c>
      <c r="W16" s="18" t="str">
        <v/>
      </c>
      <c r="X16" s="18" t="str">
        <v/>
      </c>
      <c r="Y16" s="18">
        <v>0</v>
      </c>
      <c r="Z16" s="18">
        <v>0</v>
      </c>
    </row>
    <row r="17" spans="2:26" ht="35.1" customHeight="1" thickBot="1">
      <c r="B17" s="54">
        <v>12</v>
      </c>
      <c r="C17" s="32"/>
      <c r="D17" s="33"/>
      <c r="E17" s="104" t="str">
        <f>IF(Applications[[#This Row],[Block ID]]="","",(_xlfn.XLOOKUP(Applications[[#This Row],[Block ID]],Blocks[Block ID],Blocks[Area (ha)],"")))</f>
        <v/>
      </c>
      <c r="F17" s="33"/>
      <c r="G17" s="105" t="str">
        <f t="shared" si="0"/>
        <v/>
      </c>
      <c r="H17" s="33"/>
      <c r="I17" s="33"/>
      <c r="J17" s="33"/>
      <c r="K17" s="77"/>
      <c r="L17" s="33"/>
      <c r="M17" s="33"/>
      <c r="N17" s="23" t="str">
        <f t="shared" si="1"/>
        <v/>
      </c>
      <c r="O17" s="23">
        <f>Applications[[#This Row],[Nitrogen concentration in drain solution
 (ppm or mg/L)]]*Applications[[#This Row],[Volume of solution applied
(m3)]]/1000</f>
        <v>0</v>
      </c>
      <c r="P17" s="33"/>
      <c r="Q17" s="23" t="str">
        <f t="shared" si="2"/>
        <v/>
      </c>
      <c r="R17" s="98">
        <f>Applications[[#This Row],[Phosphorus concentration in drain solution
(ppm or mg/L)]]*Applications[[#This Row],[Volume of solution applied
(m3)]]/1000</f>
        <v>0</v>
      </c>
      <c r="S17" s="65"/>
      <c r="U17" s="99" t="str">
        <f>IF(Applications[[#This Row],[Date]]="","",Applications[[#This Row],[Date]])</f>
        <v/>
      </c>
      <c r="V17" s="18" t="str">
        <f>IF(Applications[[#This Row],[Volume of solution applied
(m3)]]="","",Applications[[#This Row],[Volume of solution applied
(m3)]])</f>
        <v/>
      </c>
      <c r="W17" s="18" t="str">
        <v/>
      </c>
      <c r="X17" s="18" t="str">
        <v/>
      </c>
      <c r="Y17" s="18">
        <v>0</v>
      </c>
      <c r="Z17" s="18">
        <v>0</v>
      </c>
    </row>
    <row r="18" spans="2:26" ht="35.1" customHeight="1" thickBot="1">
      <c r="B18" s="54">
        <v>13</v>
      </c>
      <c r="C18" s="32"/>
      <c r="D18" s="33"/>
      <c r="E18" s="104" t="str">
        <f>IF(Applications[[#This Row],[Block ID]]="","",(_xlfn.XLOOKUP(Applications[[#This Row],[Block ID]],Blocks[Block ID],Blocks[Area (ha)],"")))</f>
        <v/>
      </c>
      <c r="F18" s="33"/>
      <c r="G18" s="105" t="str">
        <f t="shared" si="0"/>
        <v/>
      </c>
      <c r="H18" s="33"/>
      <c r="I18" s="33"/>
      <c r="J18" s="33"/>
      <c r="K18" s="77"/>
      <c r="L18" s="33"/>
      <c r="M18" s="33"/>
      <c r="N18" s="23" t="str">
        <f t="shared" si="1"/>
        <v/>
      </c>
      <c r="O18" s="23">
        <f>Applications[[#This Row],[Nitrogen concentration in drain solution
 (ppm or mg/L)]]*Applications[[#This Row],[Volume of solution applied
(m3)]]/1000</f>
        <v>0</v>
      </c>
      <c r="P18" s="33"/>
      <c r="Q18" s="23" t="str">
        <f t="shared" si="2"/>
        <v/>
      </c>
      <c r="R18" s="98">
        <f>Applications[[#This Row],[Phosphorus concentration in drain solution
(ppm or mg/L)]]*Applications[[#This Row],[Volume of solution applied
(m3)]]/1000</f>
        <v>0</v>
      </c>
      <c r="S18" s="65"/>
      <c r="U18" s="99" t="str">
        <f>IF(Applications[[#This Row],[Date]]="","",Applications[[#This Row],[Date]])</f>
        <v/>
      </c>
      <c r="V18" s="18" t="str">
        <f>IF(Applications[[#This Row],[Volume of solution applied
(m3)]]="","",Applications[[#This Row],[Volume of solution applied
(m3)]])</f>
        <v/>
      </c>
      <c r="W18" s="18" t="str">
        <v/>
      </c>
      <c r="X18" s="18" t="str">
        <v/>
      </c>
      <c r="Y18" s="18">
        <v>0</v>
      </c>
      <c r="Z18" s="18">
        <v>0</v>
      </c>
    </row>
    <row r="19" spans="2:26" ht="35.1" customHeight="1" thickBot="1">
      <c r="B19" s="54">
        <v>14</v>
      </c>
      <c r="C19" s="32"/>
      <c r="D19" s="33"/>
      <c r="E19" s="104" t="str">
        <f>IF(Applications[[#This Row],[Block ID]]="","",(_xlfn.XLOOKUP(Applications[[#This Row],[Block ID]],Blocks[Block ID],Blocks[Area (ha)],"")))</f>
        <v/>
      </c>
      <c r="F19" s="33"/>
      <c r="G19" s="105" t="str">
        <f t="shared" si="0"/>
        <v/>
      </c>
      <c r="H19" s="33"/>
      <c r="I19" s="33"/>
      <c r="J19" s="33"/>
      <c r="K19" s="77"/>
      <c r="L19" s="33"/>
      <c r="M19" s="33"/>
      <c r="N19" s="23" t="str">
        <f t="shared" si="1"/>
        <v/>
      </c>
      <c r="O19" s="23">
        <f>Applications[[#This Row],[Nitrogen concentration in drain solution
 (ppm or mg/L)]]*Applications[[#This Row],[Volume of solution applied
(m3)]]/1000</f>
        <v>0</v>
      </c>
      <c r="P19" s="33"/>
      <c r="Q19" s="23" t="str">
        <f t="shared" si="2"/>
        <v/>
      </c>
      <c r="R19" s="98">
        <f>Applications[[#This Row],[Phosphorus concentration in drain solution
(ppm or mg/L)]]*Applications[[#This Row],[Volume of solution applied
(m3)]]/1000</f>
        <v>0</v>
      </c>
      <c r="S19" s="65"/>
      <c r="U19" s="99" t="str">
        <f>IF(Applications[[#This Row],[Date]]="","",Applications[[#This Row],[Date]])</f>
        <v/>
      </c>
      <c r="V19" s="18" t="str">
        <f>IF(Applications[[#This Row],[Volume of solution applied
(m3)]]="","",Applications[[#This Row],[Volume of solution applied
(m3)]])</f>
        <v/>
      </c>
      <c r="W19" s="18" t="str">
        <v/>
      </c>
      <c r="X19" s="18" t="str">
        <v/>
      </c>
      <c r="Y19" s="18">
        <v>0</v>
      </c>
      <c r="Z19" s="18">
        <v>0</v>
      </c>
    </row>
    <row r="20" spans="2:26" ht="35.1" customHeight="1" thickBot="1">
      <c r="B20" s="54">
        <v>15</v>
      </c>
      <c r="C20" s="32"/>
      <c r="D20" s="33"/>
      <c r="E20" s="104" t="str">
        <f>IF(Applications[[#This Row],[Block ID]]="","",(_xlfn.XLOOKUP(Applications[[#This Row],[Block ID]],Blocks[Block ID],Blocks[Area (ha)],"")))</f>
        <v/>
      </c>
      <c r="F20" s="33"/>
      <c r="G20" s="105" t="str">
        <f t="shared" si="0"/>
        <v/>
      </c>
      <c r="H20" s="33"/>
      <c r="I20" s="33"/>
      <c r="J20" s="33"/>
      <c r="K20" s="77"/>
      <c r="L20" s="33"/>
      <c r="M20" s="33"/>
      <c r="N20" s="23" t="str">
        <f t="shared" si="1"/>
        <v/>
      </c>
      <c r="O20" s="23">
        <f>Applications[[#This Row],[Nitrogen concentration in drain solution
 (ppm or mg/L)]]*Applications[[#This Row],[Volume of solution applied
(m3)]]/1000</f>
        <v>0</v>
      </c>
      <c r="P20" s="33"/>
      <c r="Q20" s="23" t="str">
        <f t="shared" si="2"/>
        <v/>
      </c>
      <c r="R20" s="98">
        <f>Applications[[#This Row],[Phosphorus concentration in drain solution
(ppm or mg/L)]]*Applications[[#This Row],[Volume of solution applied
(m3)]]/1000</f>
        <v>0</v>
      </c>
      <c r="S20" s="65"/>
      <c r="U20" s="99" t="str">
        <f>IF(Applications[[#This Row],[Date]]="","",Applications[[#This Row],[Date]])</f>
        <v/>
      </c>
      <c r="V20" s="18" t="str">
        <f>IF(Applications[[#This Row],[Volume of solution applied
(m3)]]="","",Applications[[#This Row],[Volume of solution applied
(m3)]])</f>
        <v/>
      </c>
      <c r="W20" s="18" t="str">
        <v/>
      </c>
      <c r="X20" s="18" t="str">
        <v/>
      </c>
      <c r="Y20" s="18">
        <v>0</v>
      </c>
      <c r="Z20" s="18">
        <v>0</v>
      </c>
    </row>
    <row r="21" spans="2:26" ht="35.1" customHeight="1" thickBot="1">
      <c r="B21" s="54">
        <v>16</v>
      </c>
      <c r="C21" s="32"/>
      <c r="D21" s="33"/>
      <c r="E21" s="104" t="str">
        <f>IF(Applications[[#This Row],[Block ID]]="","",(_xlfn.XLOOKUP(Applications[[#This Row],[Block ID]],Blocks[Block ID],Blocks[Area (ha)],"")))</f>
        <v/>
      </c>
      <c r="F21" s="33"/>
      <c r="G21" s="105" t="str">
        <f t="shared" si="0"/>
        <v/>
      </c>
      <c r="H21" s="33"/>
      <c r="I21" s="33"/>
      <c r="J21" s="33"/>
      <c r="K21" s="77"/>
      <c r="L21" s="33"/>
      <c r="M21" s="33"/>
      <c r="N21" s="23" t="str">
        <f t="shared" si="1"/>
        <v/>
      </c>
      <c r="O21" s="23">
        <f>Applications[[#This Row],[Nitrogen concentration in drain solution
 (ppm or mg/L)]]*Applications[[#This Row],[Volume of solution applied
(m3)]]/1000</f>
        <v>0</v>
      </c>
      <c r="P21" s="33"/>
      <c r="Q21" s="23" t="str">
        <f t="shared" si="2"/>
        <v/>
      </c>
      <c r="R21" s="98">
        <f>Applications[[#This Row],[Phosphorus concentration in drain solution
(ppm or mg/L)]]*Applications[[#This Row],[Volume of solution applied
(m3)]]/1000</f>
        <v>0</v>
      </c>
      <c r="S21" s="65"/>
      <c r="U21" s="99" t="str">
        <f>IF(Applications[[#This Row],[Date]]="","",Applications[[#This Row],[Date]])</f>
        <v/>
      </c>
      <c r="V21" s="18" t="str">
        <f>IF(Applications[[#This Row],[Volume of solution applied
(m3)]]="","",Applications[[#This Row],[Volume of solution applied
(m3)]])</f>
        <v/>
      </c>
      <c r="W21" s="18" t="str">
        <v/>
      </c>
      <c r="X21" s="18" t="str">
        <v/>
      </c>
      <c r="Y21" s="18">
        <v>0</v>
      </c>
      <c r="Z21" s="18">
        <v>0</v>
      </c>
    </row>
    <row r="22" spans="2:26" ht="35.1" customHeight="1" thickBot="1">
      <c r="B22" s="54">
        <v>17</v>
      </c>
      <c r="C22" s="32"/>
      <c r="D22" s="33"/>
      <c r="E22" s="104" t="str">
        <f>IF(Applications[[#This Row],[Block ID]]="","",(_xlfn.XLOOKUP(Applications[[#This Row],[Block ID]],Blocks[Block ID],Blocks[Area (ha)],"")))</f>
        <v/>
      </c>
      <c r="F22" s="33"/>
      <c r="G22" s="105" t="str">
        <f t="shared" si="0"/>
        <v/>
      </c>
      <c r="H22" s="33"/>
      <c r="I22" s="33"/>
      <c r="J22" s="33"/>
      <c r="K22" s="77"/>
      <c r="L22" s="33"/>
      <c r="M22" s="33"/>
      <c r="N22" s="23" t="str">
        <f t="shared" si="1"/>
        <v/>
      </c>
      <c r="O22" s="23">
        <f>Applications[[#This Row],[Nitrogen concentration in drain solution
 (ppm or mg/L)]]*Applications[[#This Row],[Volume of solution applied
(m3)]]/1000</f>
        <v>0</v>
      </c>
      <c r="P22" s="33"/>
      <c r="Q22" s="23" t="str">
        <f t="shared" si="2"/>
        <v/>
      </c>
      <c r="R22" s="98">
        <f>Applications[[#This Row],[Phosphorus concentration in drain solution
(ppm or mg/L)]]*Applications[[#This Row],[Volume of solution applied
(m3)]]/1000</f>
        <v>0</v>
      </c>
      <c r="S22" s="65"/>
      <c r="U22" s="99" t="str">
        <f>IF(Applications[[#This Row],[Date]]="","",Applications[[#This Row],[Date]])</f>
        <v/>
      </c>
      <c r="V22" s="18" t="str">
        <f>IF(Applications[[#This Row],[Volume of solution applied
(m3)]]="","",Applications[[#This Row],[Volume of solution applied
(m3)]])</f>
        <v/>
      </c>
      <c r="W22" s="18" t="str">
        <v/>
      </c>
      <c r="X22" s="18" t="str">
        <v/>
      </c>
      <c r="Y22" s="18">
        <v>0</v>
      </c>
      <c r="Z22" s="18">
        <v>0</v>
      </c>
    </row>
    <row r="23" spans="2:26" ht="35.1" customHeight="1" thickBot="1">
      <c r="B23" s="54">
        <v>18</v>
      </c>
      <c r="C23" s="32"/>
      <c r="D23" s="33"/>
      <c r="E23" s="104" t="str">
        <f>IF(Applications[[#This Row],[Block ID]]="","",(_xlfn.XLOOKUP(Applications[[#This Row],[Block ID]],Blocks[Block ID],Blocks[Area (ha)],"")))</f>
        <v/>
      </c>
      <c r="F23" s="33"/>
      <c r="G23" s="105" t="str">
        <f t="shared" si="0"/>
        <v/>
      </c>
      <c r="H23" s="33"/>
      <c r="I23" s="33"/>
      <c r="J23" s="33"/>
      <c r="K23" s="77"/>
      <c r="L23" s="33"/>
      <c r="M23" s="33"/>
      <c r="N23" s="23" t="str">
        <f t="shared" si="1"/>
        <v/>
      </c>
      <c r="O23" s="23">
        <f>Applications[[#This Row],[Nitrogen concentration in drain solution
 (ppm or mg/L)]]*Applications[[#This Row],[Volume of solution applied
(m3)]]/1000</f>
        <v>0</v>
      </c>
      <c r="P23" s="33"/>
      <c r="Q23" s="23" t="str">
        <f t="shared" si="2"/>
        <v/>
      </c>
      <c r="R23" s="98">
        <f>Applications[[#This Row],[Phosphorus concentration in drain solution
(ppm or mg/L)]]*Applications[[#This Row],[Volume of solution applied
(m3)]]/1000</f>
        <v>0</v>
      </c>
      <c r="S23" s="65"/>
      <c r="U23" s="99" t="str">
        <f>IF(Applications[[#This Row],[Date]]="","",Applications[[#This Row],[Date]])</f>
        <v/>
      </c>
      <c r="V23" s="18" t="str">
        <f>IF(Applications[[#This Row],[Volume of solution applied
(m3)]]="","",Applications[[#This Row],[Volume of solution applied
(m3)]])</f>
        <v/>
      </c>
      <c r="W23" s="18" t="str">
        <v/>
      </c>
      <c r="X23" s="18" t="str">
        <v/>
      </c>
      <c r="Y23" s="18">
        <v>0</v>
      </c>
      <c r="Z23" s="18">
        <v>0</v>
      </c>
    </row>
    <row r="24" spans="2:26" ht="35.1" customHeight="1" thickBot="1">
      <c r="B24" s="54">
        <v>19</v>
      </c>
      <c r="C24" s="32"/>
      <c r="D24" s="33"/>
      <c r="E24" s="104" t="str">
        <f>IF(Applications[[#This Row],[Block ID]]="","",(_xlfn.XLOOKUP(Applications[[#This Row],[Block ID]],Blocks[Block ID],Blocks[Area (ha)],"")))</f>
        <v/>
      </c>
      <c r="F24" s="33"/>
      <c r="G24" s="105" t="str">
        <f t="shared" si="0"/>
        <v/>
      </c>
      <c r="H24" s="33"/>
      <c r="I24" s="33"/>
      <c r="J24" s="33"/>
      <c r="K24" s="77"/>
      <c r="L24" s="33"/>
      <c r="M24" s="33"/>
      <c r="N24" s="23" t="str">
        <f t="shared" si="1"/>
        <v/>
      </c>
      <c r="O24" s="23">
        <f>Applications[[#This Row],[Nitrogen concentration in drain solution
 (ppm or mg/L)]]*Applications[[#This Row],[Volume of solution applied
(m3)]]/1000</f>
        <v>0</v>
      </c>
      <c r="P24" s="33"/>
      <c r="Q24" s="23" t="str">
        <f t="shared" si="2"/>
        <v/>
      </c>
      <c r="R24" s="98">
        <f>Applications[[#This Row],[Phosphorus concentration in drain solution
(ppm or mg/L)]]*Applications[[#This Row],[Volume of solution applied
(m3)]]/1000</f>
        <v>0</v>
      </c>
      <c r="S24" s="65"/>
      <c r="U24" s="99" t="str">
        <f>IF(Applications[[#This Row],[Date]]="","",Applications[[#This Row],[Date]])</f>
        <v/>
      </c>
      <c r="V24" s="18" t="str">
        <f>IF(Applications[[#This Row],[Volume of solution applied
(m3)]]="","",Applications[[#This Row],[Volume of solution applied
(m3)]])</f>
        <v/>
      </c>
      <c r="W24" s="18" t="str">
        <v/>
      </c>
      <c r="X24" s="18" t="str">
        <v/>
      </c>
      <c r="Y24" s="18">
        <v>0</v>
      </c>
      <c r="Z24" s="18">
        <v>0</v>
      </c>
    </row>
    <row r="25" spans="2:26" ht="35.1" customHeight="1" thickBot="1">
      <c r="B25" s="54">
        <v>20</v>
      </c>
      <c r="C25" s="32"/>
      <c r="D25" s="33"/>
      <c r="E25" s="104" t="str">
        <f>IF(Applications[[#This Row],[Block ID]]="","",(_xlfn.XLOOKUP(Applications[[#This Row],[Block ID]],Blocks[Block ID],Blocks[Area (ha)],"")))</f>
        <v/>
      </c>
      <c r="F25" s="33"/>
      <c r="G25" s="105" t="str">
        <f t="shared" si="0"/>
        <v/>
      </c>
      <c r="H25" s="33"/>
      <c r="I25" s="33"/>
      <c r="J25" s="33"/>
      <c r="K25" s="77"/>
      <c r="L25" s="33"/>
      <c r="M25" s="33"/>
      <c r="N25" s="23" t="str">
        <f t="shared" si="1"/>
        <v/>
      </c>
      <c r="O25" s="23">
        <f>Applications[[#This Row],[Nitrogen concentration in drain solution
 (ppm or mg/L)]]*Applications[[#This Row],[Volume of solution applied
(m3)]]/1000</f>
        <v>0</v>
      </c>
      <c r="P25" s="33"/>
      <c r="Q25" s="23" t="str">
        <f t="shared" si="2"/>
        <v/>
      </c>
      <c r="R25" s="98">
        <f>Applications[[#This Row],[Phosphorus concentration in drain solution
(ppm or mg/L)]]*Applications[[#This Row],[Volume of solution applied
(m3)]]/1000</f>
        <v>0</v>
      </c>
      <c r="S25" s="65"/>
      <c r="U25" s="99" t="str">
        <f>IF(Applications[[#This Row],[Date]]="","",Applications[[#This Row],[Date]])</f>
        <v/>
      </c>
      <c r="V25" s="18" t="str">
        <f>IF(Applications[[#This Row],[Volume of solution applied
(m3)]]="","",Applications[[#This Row],[Volume of solution applied
(m3)]])</f>
        <v/>
      </c>
      <c r="W25" s="18" t="str">
        <v/>
      </c>
      <c r="X25" s="18" t="str">
        <v/>
      </c>
      <c r="Y25" s="18">
        <v>0</v>
      </c>
      <c r="Z25" s="18">
        <v>0</v>
      </c>
    </row>
    <row r="26" spans="2:26" ht="35.1" customHeight="1" thickBot="1">
      <c r="B26" s="54">
        <v>21</v>
      </c>
      <c r="C26" s="32"/>
      <c r="D26" s="33"/>
      <c r="E26" s="104" t="str">
        <f>IF(Applications[[#This Row],[Block ID]]="","",(_xlfn.XLOOKUP(Applications[[#This Row],[Block ID]],Blocks[Block ID],Blocks[Area (ha)],"")))</f>
        <v/>
      </c>
      <c r="F26" s="33"/>
      <c r="G26" s="105" t="str">
        <f t="shared" si="0"/>
        <v/>
      </c>
      <c r="H26" s="33"/>
      <c r="I26" s="33"/>
      <c r="J26" s="33"/>
      <c r="K26" s="77"/>
      <c r="L26" s="33"/>
      <c r="M26" s="33"/>
      <c r="N26" s="23" t="str">
        <f t="shared" si="1"/>
        <v/>
      </c>
      <c r="O26" s="23">
        <f>Applications[[#This Row],[Nitrogen concentration in drain solution
 (ppm or mg/L)]]*Applications[[#This Row],[Volume of solution applied
(m3)]]/1000</f>
        <v>0</v>
      </c>
      <c r="P26" s="33"/>
      <c r="Q26" s="23" t="str">
        <f t="shared" si="2"/>
        <v/>
      </c>
      <c r="R26" s="98">
        <f>Applications[[#This Row],[Phosphorus concentration in drain solution
(ppm or mg/L)]]*Applications[[#This Row],[Volume of solution applied
(m3)]]/1000</f>
        <v>0</v>
      </c>
      <c r="S26" s="65"/>
      <c r="U26" s="99" t="str">
        <f>IF(Applications[[#This Row],[Date]]="","",Applications[[#This Row],[Date]])</f>
        <v/>
      </c>
      <c r="V26" s="18" t="str">
        <f>IF(Applications[[#This Row],[Volume of solution applied
(m3)]]="","",Applications[[#This Row],[Volume of solution applied
(m3)]])</f>
        <v/>
      </c>
      <c r="W26" s="18" t="str">
        <v/>
      </c>
      <c r="X26" s="18" t="str">
        <v/>
      </c>
      <c r="Y26" s="18">
        <v>0</v>
      </c>
      <c r="Z26" s="18">
        <v>0</v>
      </c>
    </row>
    <row r="27" spans="2:26" ht="35.1" customHeight="1" thickBot="1">
      <c r="B27" s="54">
        <v>22</v>
      </c>
      <c r="C27" s="32"/>
      <c r="D27" s="33"/>
      <c r="E27" s="104" t="str">
        <f>IF(Applications[[#This Row],[Block ID]]="","",(_xlfn.XLOOKUP(Applications[[#This Row],[Block ID]],Blocks[Block ID],Blocks[Area (ha)],"")))</f>
        <v/>
      </c>
      <c r="F27" s="33"/>
      <c r="G27" s="105" t="str">
        <f t="shared" si="0"/>
        <v/>
      </c>
      <c r="H27" s="33"/>
      <c r="I27" s="33"/>
      <c r="J27" s="33"/>
      <c r="K27" s="77"/>
      <c r="L27" s="33"/>
      <c r="M27" s="33"/>
      <c r="N27" s="23" t="str">
        <f t="shared" si="1"/>
        <v/>
      </c>
      <c r="O27" s="23">
        <f>Applications[[#This Row],[Nitrogen concentration in drain solution
 (ppm or mg/L)]]*Applications[[#This Row],[Volume of solution applied
(m3)]]/1000</f>
        <v>0</v>
      </c>
      <c r="P27" s="33"/>
      <c r="Q27" s="23" t="str">
        <f t="shared" si="2"/>
        <v/>
      </c>
      <c r="R27" s="98">
        <f>Applications[[#This Row],[Phosphorus concentration in drain solution
(ppm or mg/L)]]*Applications[[#This Row],[Volume of solution applied
(m3)]]/1000</f>
        <v>0</v>
      </c>
      <c r="S27" s="65"/>
      <c r="U27" s="99" t="str">
        <f>IF(Applications[[#This Row],[Date]]="","",Applications[[#This Row],[Date]])</f>
        <v/>
      </c>
      <c r="V27" s="18" t="str">
        <f>IF(Applications[[#This Row],[Volume of solution applied
(m3)]]="","",Applications[[#This Row],[Volume of solution applied
(m3)]])</f>
        <v/>
      </c>
      <c r="W27" s="18" t="str">
        <v/>
      </c>
      <c r="X27" s="18" t="str">
        <v/>
      </c>
      <c r="Y27" s="18">
        <v>0</v>
      </c>
      <c r="Z27" s="18">
        <v>0</v>
      </c>
    </row>
    <row r="28" spans="2:26" ht="35.1" customHeight="1" thickBot="1">
      <c r="B28" s="54">
        <v>23</v>
      </c>
      <c r="C28" s="32"/>
      <c r="D28" s="33"/>
      <c r="E28" s="104" t="str">
        <f>IF(Applications[[#This Row],[Block ID]]="","",(_xlfn.XLOOKUP(Applications[[#This Row],[Block ID]],Blocks[Block ID],Blocks[Area (ha)],"")))</f>
        <v/>
      </c>
      <c r="F28" s="33"/>
      <c r="G28" s="105" t="str">
        <f t="shared" si="0"/>
        <v/>
      </c>
      <c r="H28" s="33"/>
      <c r="I28" s="33"/>
      <c r="J28" s="33"/>
      <c r="K28" s="77"/>
      <c r="L28" s="33"/>
      <c r="M28" s="33"/>
      <c r="N28" s="23" t="str">
        <f t="shared" si="1"/>
        <v/>
      </c>
      <c r="O28" s="23">
        <f>Applications[[#This Row],[Nitrogen concentration in drain solution
 (ppm or mg/L)]]*Applications[[#This Row],[Volume of solution applied
(m3)]]/1000</f>
        <v>0</v>
      </c>
      <c r="P28" s="33"/>
      <c r="Q28" s="23" t="str">
        <f t="shared" si="2"/>
        <v/>
      </c>
      <c r="R28" s="98">
        <f>Applications[[#This Row],[Phosphorus concentration in drain solution
(ppm or mg/L)]]*Applications[[#This Row],[Volume of solution applied
(m3)]]/1000</f>
        <v>0</v>
      </c>
      <c r="S28" s="65"/>
      <c r="U28" s="99" t="str">
        <f>IF(Applications[[#This Row],[Date]]="","",Applications[[#This Row],[Date]])</f>
        <v/>
      </c>
      <c r="V28" s="18" t="str">
        <f>IF(Applications[[#This Row],[Volume of solution applied
(m3)]]="","",Applications[[#This Row],[Volume of solution applied
(m3)]])</f>
        <v/>
      </c>
      <c r="W28" s="18" t="str">
        <v/>
      </c>
      <c r="X28" s="18" t="str">
        <v/>
      </c>
      <c r="Y28" s="18">
        <v>0</v>
      </c>
      <c r="Z28" s="18">
        <v>0</v>
      </c>
    </row>
    <row r="29" spans="2:26" ht="35.1" customHeight="1" thickBot="1">
      <c r="B29" s="54">
        <v>24</v>
      </c>
      <c r="C29" s="32"/>
      <c r="D29" s="33"/>
      <c r="E29" s="104" t="str">
        <f>IF(Applications[[#This Row],[Block ID]]="","",(_xlfn.XLOOKUP(Applications[[#This Row],[Block ID]],Blocks[Block ID],Blocks[Area (ha)],"")))</f>
        <v/>
      </c>
      <c r="F29" s="33"/>
      <c r="G29" s="105" t="str">
        <f t="shared" si="0"/>
        <v/>
      </c>
      <c r="H29" s="33"/>
      <c r="I29" s="33"/>
      <c r="J29" s="33"/>
      <c r="K29" s="77"/>
      <c r="L29" s="33"/>
      <c r="M29" s="33"/>
      <c r="N29" s="23" t="str">
        <f t="shared" si="1"/>
        <v/>
      </c>
      <c r="O29" s="23">
        <f>Applications[[#This Row],[Nitrogen concentration in drain solution
 (ppm or mg/L)]]*Applications[[#This Row],[Volume of solution applied
(m3)]]/1000</f>
        <v>0</v>
      </c>
      <c r="P29" s="33"/>
      <c r="Q29" s="23" t="str">
        <f t="shared" si="2"/>
        <v/>
      </c>
      <c r="R29" s="98">
        <f>Applications[[#This Row],[Phosphorus concentration in drain solution
(ppm or mg/L)]]*Applications[[#This Row],[Volume of solution applied
(m3)]]/1000</f>
        <v>0</v>
      </c>
      <c r="S29" s="65"/>
      <c r="U29" s="99" t="str">
        <f>IF(Applications[[#This Row],[Date]]="","",Applications[[#This Row],[Date]])</f>
        <v/>
      </c>
      <c r="V29" s="18" t="str">
        <f>IF(Applications[[#This Row],[Volume of solution applied
(m3)]]="","",Applications[[#This Row],[Volume of solution applied
(m3)]])</f>
        <v/>
      </c>
      <c r="W29" s="18" t="str">
        <v/>
      </c>
      <c r="X29" s="18" t="str">
        <v/>
      </c>
      <c r="Y29" s="18">
        <v>0</v>
      </c>
      <c r="Z29" s="18">
        <v>0</v>
      </c>
    </row>
    <row r="30" spans="2:26" ht="35.1" customHeight="1" thickBot="1">
      <c r="B30" s="54">
        <v>25</v>
      </c>
      <c r="C30" s="32"/>
      <c r="D30" s="33"/>
      <c r="E30" s="104" t="str">
        <f>IF(Applications[[#This Row],[Block ID]]="","",(_xlfn.XLOOKUP(Applications[[#This Row],[Block ID]],Blocks[Block ID],Blocks[Area (ha)],"")))</f>
        <v/>
      </c>
      <c r="F30" s="33"/>
      <c r="G30" s="105" t="str">
        <f t="shared" si="0"/>
        <v/>
      </c>
      <c r="H30" s="33"/>
      <c r="I30" s="33"/>
      <c r="J30" s="33"/>
      <c r="K30" s="77"/>
      <c r="L30" s="33"/>
      <c r="M30" s="33"/>
      <c r="N30" s="23" t="str">
        <f t="shared" si="1"/>
        <v/>
      </c>
      <c r="O30" s="23">
        <f>Applications[[#This Row],[Nitrogen concentration in drain solution
 (ppm or mg/L)]]*Applications[[#This Row],[Volume of solution applied
(m3)]]/1000</f>
        <v>0</v>
      </c>
      <c r="P30" s="33"/>
      <c r="Q30" s="23" t="str">
        <f t="shared" si="2"/>
        <v/>
      </c>
      <c r="R30" s="98">
        <f>Applications[[#This Row],[Phosphorus concentration in drain solution
(ppm or mg/L)]]*Applications[[#This Row],[Volume of solution applied
(m3)]]/1000</f>
        <v>0</v>
      </c>
      <c r="S30" s="65"/>
      <c r="U30" s="99" t="str">
        <f>IF(Applications[[#This Row],[Date]]="","",Applications[[#This Row],[Date]])</f>
        <v/>
      </c>
      <c r="V30" s="18" t="str">
        <f>IF(Applications[[#This Row],[Volume of solution applied
(m3)]]="","",Applications[[#This Row],[Volume of solution applied
(m3)]])</f>
        <v/>
      </c>
      <c r="W30" s="18" t="str">
        <v/>
      </c>
      <c r="X30" s="18" t="str">
        <v/>
      </c>
      <c r="Y30" s="18">
        <v>0</v>
      </c>
      <c r="Z30" s="18">
        <v>0</v>
      </c>
    </row>
    <row r="31" spans="2:26" ht="35.1" customHeight="1" thickBot="1">
      <c r="B31" s="54">
        <v>26</v>
      </c>
      <c r="C31" s="32"/>
      <c r="D31" s="33"/>
      <c r="E31" s="104" t="str">
        <f>IF(Applications[[#This Row],[Block ID]]="","",(_xlfn.XLOOKUP(Applications[[#This Row],[Block ID]],Blocks[Block ID],Blocks[Area (ha)],"")))</f>
        <v/>
      </c>
      <c r="F31" s="33"/>
      <c r="G31" s="105" t="str">
        <f t="shared" si="0"/>
        <v/>
      </c>
      <c r="H31" s="33"/>
      <c r="I31" s="33"/>
      <c r="J31" s="33"/>
      <c r="K31" s="77"/>
      <c r="L31" s="33"/>
      <c r="M31" s="33"/>
      <c r="N31" s="23" t="str">
        <f t="shared" si="1"/>
        <v/>
      </c>
      <c r="O31" s="23">
        <f>Applications[[#This Row],[Nitrogen concentration in drain solution
 (ppm or mg/L)]]*Applications[[#This Row],[Volume of solution applied
(m3)]]/1000</f>
        <v>0</v>
      </c>
      <c r="P31" s="33"/>
      <c r="Q31" s="23" t="str">
        <f t="shared" si="2"/>
        <v/>
      </c>
      <c r="R31" s="98">
        <f>Applications[[#This Row],[Phosphorus concentration in drain solution
(ppm or mg/L)]]*Applications[[#This Row],[Volume of solution applied
(m3)]]/1000</f>
        <v>0</v>
      </c>
      <c r="S31" s="65"/>
      <c r="U31" s="99" t="str">
        <f>IF(Applications[[#This Row],[Date]]="","",Applications[[#This Row],[Date]])</f>
        <v/>
      </c>
      <c r="V31" s="18" t="str">
        <f>IF(Applications[[#This Row],[Volume of solution applied
(m3)]]="","",Applications[[#This Row],[Volume of solution applied
(m3)]])</f>
        <v/>
      </c>
      <c r="W31" s="18" t="str">
        <v/>
      </c>
      <c r="X31" s="18" t="str">
        <v/>
      </c>
      <c r="Y31" s="18">
        <v>0</v>
      </c>
      <c r="Z31" s="18">
        <v>0</v>
      </c>
    </row>
    <row r="32" spans="2:26" ht="35.1" customHeight="1" thickBot="1">
      <c r="B32" s="54">
        <v>27</v>
      </c>
      <c r="C32" s="32"/>
      <c r="D32" s="33"/>
      <c r="E32" s="104" t="str">
        <f>IF(Applications[[#This Row],[Block ID]]="","",(_xlfn.XLOOKUP(Applications[[#This Row],[Block ID]],Blocks[Block ID],Blocks[Area (ha)],"")))</f>
        <v/>
      </c>
      <c r="F32" s="33"/>
      <c r="G32" s="105" t="str">
        <f t="shared" si="0"/>
        <v/>
      </c>
      <c r="H32" s="33"/>
      <c r="I32" s="33"/>
      <c r="J32" s="33"/>
      <c r="K32" s="77"/>
      <c r="L32" s="33"/>
      <c r="M32" s="33"/>
      <c r="N32" s="23" t="str">
        <f t="shared" si="1"/>
        <v/>
      </c>
      <c r="O32" s="23">
        <f>Applications[[#This Row],[Nitrogen concentration in drain solution
 (ppm or mg/L)]]*Applications[[#This Row],[Volume of solution applied
(m3)]]/1000</f>
        <v>0</v>
      </c>
      <c r="P32" s="33"/>
      <c r="Q32" s="23" t="str">
        <f t="shared" si="2"/>
        <v/>
      </c>
      <c r="R32" s="98">
        <f>Applications[[#This Row],[Phosphorus concentration in drain solution
(ppm or mg/L)]]*Applications[[#This Row],[Volume of solution applied
(m3)]]/1000</f>
        <v>0</v>
      </c>
      <c r="S32" s="65"/>
      <c r="U32" s="99" t="str">
        <f>IF(Applications[[#This Row],[Date]]="","",Applications[[#This Row],[Date]])</f>
        <v/>
      </c>
      <c r="V32" s="18" t="str">
        <f>IF(Applications[[#This Row],[Volume of solution applied
(m3)]]="","",Applications[[#This Row],[Volume of solution applied
(m3)]])</f>
        <v/>
      </c>
      <c r="W32" s="18" t="str">
        <v/>
      </c>
      <c r="X32" s="18" t="str">
        <v/>
      </c>
      <c r="Y32" s="18">
        <v>0</v>
      </c>
      <c r="Z32" s="18">
        <v>0</v>
      </c>
    </row>
    <row r="33" spans="2:26" ht="35.1" customHeight="1" thickBot="1">
      <c r="B33" s="54">
        <v>28</v>
      </c>
      <c r="C33" s="32"/>
      <c r="D33" s="33"/>
      <c r="E33" s="104" t="str">
        <f>IF(Applications[[#This Row],[Block ID]]="","",(_xlfn.XLOOKUP(Applications[[#This Row],[Block ID]],Blocks[Block ID],Blocks[Area (ha)],"")))</f>
        <v/>
      </c>
      <c r="F33" s="33"/>
      <c r="G33" s="105" t="str">
        <f t="shared" si="0"/>
        <v/>
      </c>
      <c r="H33" s="33"/>
      <c r="I33" s="33"/>
      <c r="J33" s="33"/>
      <c r="K33" s="77"/>
      <c r="L33" s="33"/>
      <c r="M33" s="33"/>
      <c r="N33" s="23" t="str">
        <f t="shared" si="1"/>
        <v/>
      </c>
      <c r="O33" s="23">
        <f>Applications[[#This Row],[Nitrogen concentration in drain solution
 (ppm or mg/L)]]*Applications[[#This Row],[Volume of solution applied
(m3)]]/1000</f>
        <v>0</v>
      </c>
      <c r="P33" s="33"/>
      <c r="Q33" s="23" t="str">
        <f t="shared" si="2"/>
        <v/>
      </c>
      <c r="R33" s="98">
        <f>Applications[[#This Row],[Phosphorus concentration in drain solution
(ppm or mg/L)]]*Applications[[#This Row],[Volume of solution applied
(m3)]]/1000</f>
        <v>0</v>
      </c>
      <c r="S33" s="65"/>
      <c r="U33" s="99" t="str">
        <f>IF(Applications[[#This Row],[Date]]="","",Applications[[#This Row],[Date]])</f>
        <v/>
      </c>
      <c r="V33" s="18" t="str">
        <f>IF(Applications[[#This Row],[Volume of solution applied
(m3)]]="","",Applications[[#This Row],[Volume of solution applied
(m3)]])</f>
        <v/>
      </c>
      <c r="W33" s="18" t="str">
        <v/>
      </c>
      <c r="X33" s="18" t="str">
        <v/>
      </c>
      <c r="Y33" s="18">
        <v>0</v>
      </c>
      <c r="Z33" s="18">
        <v>0</v>
      </c>
    </row>
    <row r="34" spans="2:26" ht="35.1" customHeight="1" thickBot="1">
      <c r="B34" s="54">
        <v>29</v>
      </c>
      <c r="C34" s="32"/>
      <c r="D34" s="33"/>
      <c r="E34" s="104" t="str">
        <f>IF(Applications[[#This Row],[Block ID]]="","",(_xlfn.XLOOKUP(Applications[[#This Row],[Block ID]],Blocks[Block ID],Blocks[Area (ha)],"")))</f>
        <v/>
      </c>
      <c r="F34" s="33"/>
      <c r="G34" s="105" t="str">
        <f t="shared" si="0"/>
        <v/>
      </c>
      <c r="H34" s="33"/>
      <c r="I34" s="33"/>
      <c r="J34" s="33"/>
      <c r="K34" s="77"/>
      <c r="L34" s="33"/>
      <c r="M34" s="33"/>
      <c r="N34" s="23" t="str">
        <f t="shared" si="1"/>
        <v/>
      </c>
      <c r="O34" s="23">
        <f>Applications[[#This Row],[Nitrogen concentration in drain solution
 (ppm or mg/L)]]*Applications[[#This Row],[Volume of solution applied
(m3)]]/1000</f>
        <v>0</v>
      </c>
      <c r="P34" s="33"/>
      <c r="Q34" s="23" t="str">
        <f t="shared" si="2"/>
        <v/>
      </c>
      <c r="R34" s="98">
        <f>Applications[[#This Row],[Phosphorus concentration in drain solution
(ppm or mg/L)]]*Applications[[#This Row],[Volume of solution applied
(m3)]]/1000</f>
        <v>0</v>
      </c>
      <c r="S34" s="65"/>
      <c r="U34" s="99" t="str">
        <f>IF(Applications[[#This Row],[Date]]="","",Applications[[#This Row],[Date]])</f>
        <v/>
      </c>
      <c r="V34" s="18" t="str">
        <f>IF(Applications[[#This Row],[Volume of solution applied
(m3)]]="","",Applications[[#This Row],[Volume of solution applied
(m3)]])</f>
        <v/>
      </c>
      <c r="W34" s="18" t="str">
        <v/>
      </c>
      <c r="X34" s="18" t="str">
        <v/>
      </c>
      <c r="Y34" s="18">
        <v>0</v>
      </c>
      <c r="Z34" s="18">
        <v>0</v>
      </c>
    </row>
    <row r="35" spans="2:26" ht="35.1" customHeight="1" thickBot="1">
      <c r="B35" s="54">
        <v>30</v>
      </c>
      <c r="C35" s="32"/>
      <c r="D35" s="33"/>
      <c r="E35" s="104" t="str">
        <f>IF(Applications[[#This Row],[Block ID]]="","",(_xlfn.XLOOKUP(Applications[[#This Row],[Block ID]],Blocks[Block ID],Blocks[Area (ha)],"")))</f>
        <v/>
      </c>
      <c r="F35" s="33"/>
      <c r="G35" s="105" t="str">
        <f t="shared" si="0"/>
        <v/>
      </c>
      <c r="H35" s="33"/>
      <c r="I35" s="33"/>
      <c r="J35" s="33"/>
      <c r="K35" s="77"/>
      <c r="L35" s="33"/>
      <c r="M35" s="33"/>
      <c r="N35" s="23" t="str">
        <f t="shared" si="1"/>
        <v/>
      </c>
      <c r="O35" s="23">
        <f>Applications[[#This Row],[Nitrogen concentration in drain solution
 (ppm or mg/L)]]*Applications[[#This Row],[Volume of solution applied
(m3)]]/1000</f>
        <v>0</v>
      </c>
      <c r="P35" s="33"/>
      <c r="Q35" s="23" t="str">
        <f t="shared" si="2"/>
        <v/>
      </c>
      <c r="R35" s="98">
        <f>Applications[[#This Row],[Phosphorus concentration in drain solution
(ppm or mg/L)]]*Applications[[#This Row],[Volume of solution applied
(m3)]]/1000</f>
        <v>0</v>
      </c>
      <c r="S35" s="65"/>
      <c r="U35" s="99" t="str">
        <f>IF(Applications[[#This Row],[Date]]="","",Applications[[#This Row],[Date]])</f>
        <v/>
      </c>
      <c r="V35" s="18" t="str">
        <f>IF(Applications[[#This Row],[Volume of solution applied
(m3)]]="","",Applications[[#This Row],[Volume of solution applied
(m3)]])</f>
        <v/>
      </c>
      <c r="W35" s="18" t="str">
        <v/>
      </c>
      <c r="X35" s="18" t="str">
        <v/>
      </c>
      <c r="Y35" s="18">
        <v>0</v>
      </c>
      <c r="Z35" s="18">
        <v>0</v>
      </c>
    </row>
    <row r="36" spans="2:26" ht="35.1" customHeight="1" thickBot="1">
      <c r="B36" s="54">
        <v>31</v>
      </c>
      <c r="C36" s="32"/>
      <c r="D36" s="33"/>
      <c r="E36" s="104" t="str">
        <f>IF(Applications[[#This Row],[Block ID]]="","",(_xlfn.XLOOKUP(Applications[[#This Row],[Block ID]],Blocks[Block ID],Blocks[Area (ha)],"")))</f>
        <v/>
      </c>
      <c r="F36" s="33"/>
      <c r="G36" s="105" t="str">
        <f t="shared" si="0"/>
        <v/>
      </c>
      <c r="H36" s="33"/>
      <c r="I36" s="33"/>
      <c r="J36" s="33"/>
      <c r="K36" s="77"/>
      <c r="L36" s="33"/>
      <c r="M36" s="33"/>
      <c r="N36" s="23" t="str">
        <f t="shared" si="1"/>
        <v/>
      </c>
      <c r="O36" s="23">
        <f>Applications[[#This Row],[Nitrogen concentration in drain solution
 (ppm or mg/L)]]*Applications[[#This Row],[Volume of solution applied
(m3)]]/1000</f>
        <v>0</v>
      </c>
      <c r="P36" s="33"/>
      <c r="Q36" s="23" t="str">
        <f t="shared" si="2"/>
        <v/>
      </c>
      <c r="R36" s="98">
        <f>Applications[[#This Row],[Phosphorus concentration in drain solution
(ppm or mg/L)]]*Applications[[#This Row],[Volume of solution applied
(m3)]]/1000</f>
        <v>0</v>
      </c>
      <c r="S36" s="65"/>
      <c r="U36" s="99" t="str">
        <f>IF(Applications[[#This Row],[Date]]="","",Applications[[#This Row],[Date]])</f>
        <v/>
      </c>
      <c r="V36" s="18" t="str">
        <f>IF(Applications[[#This Row],[Volume of solution applied
(m3)]]="","",Applications[[#This Row],[Volume of solution applied
(m3)]])</f>
        <v/>
      </c>
      <c r="W36" s="18" t="str">
        <v/>
      </c>
      <c r="X36" s="18" t="str">
        <v/>
      </c>
      <c r="Y36" s="18">
        <v>0</v>
      </c>
      <c r="Z36" s="18">
        <v>0</v>
      </c>
    </row>
    <row r="37" spans="2:26" ht="35.1" customHeight="1" thickBot="1">
      <c r="B37" s="54">
        <v>32</v>
      </c>
      <c r="C37" s="32"/>
      <c r="D37" s="33"/>
      <c r="E37" s="104" t="str">
        <f>IF(Applications[[#This Row],[Block ID]]="","",(_xlfn.XLOOKUP(Applications[[#This Row],[Block ID]],Blocks[Block ID],Blocks[Area (ha)],"")))</f>
        <v/>
      </c>
      <c r="F37" s="33"/>
      <c r="G37" s="105" t="str">
        <f t="shared" si="0"/>
        <v/>
      </c>
      <c r="H37" s="33"/>
      <c r="I37" s="33"/>
      <c r="J37" s="33"/>
      <c r="K37" s="77"/>
      <c r="L37" s="33"/>
      <c r="M37" s="33"/>
      <c r="N37" s="23" t="str">
        <f t="shared" si="1"/>
        <v/>
      </c>
      <c r="O37" s="23">
        <f>Applications[[#This Row],[Nitrogen concentration in drain solution
 (ppm or mg/L)]]*Applications[[#This Row],[Volume of solution applied
(m3)]]/1000</f>
        <v>0</v>
      </c>
      <c r="P37" s="33"/>
      <c r="Q37" s="23" t="str">
        <f t="shared" si="2"/>
        <v/>
      </c>
      <c r="R37" s="98">
        <f>Applications[[#This Row],[Phosphorus concentration in drain solution
(ppm or mg/L)]]*Applications[[#This Row],[Volume of solution applied
(m3)]]/1000</f>
        <v>0</v>
      </c>
      <c r="S37" s="65"/>
      <c r="U37" s="99" t="str">
        <f>IF(Applications[[#This Row],[Date]]="","",Applications[[#This Row],[Date]])</f>
        <v/>
      </c>
      <c r="V37" s="18" t="str">
        <f>IF(Applications[[#This Row],[Volume of solution applied
(m3)]]="","",Applications[[#This Row],[Volume of solution applied
(m3)]])</f>
        <v/>
      </c>
      <c r="W37" s="18" t="str">
        <v/>
      </c>
      <c r="X37" s="18" t="str">
        <v/>
      </c>
      <c r="Y37" s="18">
        <v>0</v>
      </c>
      <c r="Z37" s="18">
        <v>0</v>
      </c>
    </row>
    <row r="38" spans="2:26" ht="35.1" customHeight="1" thickBot="1">
      <c r="B38" s="54">
        <v>33</v>
      </c>
      <c r="C38" s="32"/>
      <c r="D38" s="33"/>
      <c r="E38" s="104" t="str">
        <f>IF(Applications[[#This Row],[Block ID]]="","",(_xlfn.XLOOKUP(Applications[[#This Row],[Block ID]],Blocks[Block ID],Blocks[Area (ha)],"")))</f>
        <v/>
      </c>
      <c r="F38" s="33"/>
      <c r="G38" s="105" t="str">
        <f t="shared" si="0"/>
        <v/>
      </c>
      <c r="H38" s="33"/>
      <c r="I38" s="33"/>
      <c r="J38" s="33"/>
      <c r="K38" s="77"/>
      <c r="L38" s="33"/>
      <c r="M38" s="33"/>
      <c r="N38" s="23" t="str">
        <f t="shared" si="1"/>
        <v/>
      </c>
      <c r="O38" s="23">
        <f>Applications[[#This Row],[Nitrogen concentration in drain solution
 (ppm or mg/L)]]*Applications[[#This Row],[Volume of solution applied
(m3)]]/1000</f>
        <v>0</v>
      </c>
      <c r="P38" s="33"/>
      <c r="Q38" s="23" t="str">
        <f t="shared" si="2"/>
        <v/>
      </c>
      <c r="R38" s="98">
        <f>Applications[[#This Row],[Phosphorus concentration in drain solution
(ppm or mg/L)]]*Applications[[#This Row],[Volume of solution applied
(m3)]]/1000</f>
        <v>0</v>
      </c>
      <c r="S38" s="65"/>
      <c r="U38" s="99" t="str">
        <f>IF(Applications[[#This Row],[Date]]="","",Applications[[#This Row],[Date]])</f>
        <v/>
      </c>
      <c r="V38" s="18" t="str">
        <f>IF(Applications[[#This Row],[Volume of solution applied
(m3)]]="","",Applications[[#This Row],[Volume of solution applied
(m3)]])</f>
        <v/>
      </c>
      <c r="W38" s="18" t="str">
        <v/>
      </c>
      <c r="X38" s="18" t="str">
        <v/>
      </c>
      <c r="Y38" s="18">
        <v>0</v>
      </c>
      <c r="Z38" s="18">
        <v>0</v>
      </c>
    </row>
    <row r="39" spans="2:26" ht="35.1" customHeight="1" thickBot="1">
      <c r="B39" s="54">
        <v>34</v>
      </c>
      <c r="C39" s="32"/>
      <c r="D39" s="33"/>
      <c r="E39" s="104" t="str">
        <f>IF(Applications[[#This Row],[Block ID]]="","",(_xlfn.XLOOKUP(Applications[[#This Row],[Block ID]],Blocks[Block ID],Blocks[Area (ha)],"")))</f>
        <v/>
      </c>
      <c r="F39" s="33"/>
      <c r="G39" s="105" t="str">
        <f t="shared" si="0"/>
        <v/>
      </c>
      <c r="H39" s="33"/>
      <c r="I39" s="33"/>
      <c r="J39" s="33"/>
      <c r="K39" s="77"/>
      <c r="L39" s="33"/>
      <c r="M39" s="33"/>
      <c r="N39" s="23" t="str">
        <f t="shared" si="1"/>
        <v/>
      </c>
      <c r="O39" s="23">
        <f>Applications[[#This Row],[Nitrogen concentration in drain solution
 (ppm or mg/L)]]*Applications[[#This Row],[Volume of solution applied
(m3)]]/1000</f>
        <v>0</v>
      </c>
      <c r="P39" s="33"/>
      <c r="Q39" s="23" t="str">
        <f t="shared" si="2"/>
        <v/>
      </c>
      <c r="R39" s="98">
        <f>Applications[[#This Row],[Phosphorus concentration in drain solution
(ppm or mg/L)]]*Applications[[#This Row],[Volume of solution applied
(m3)]]/1000</f>
        <v>0</v>
      </c>
      <c r="S39" s="65"/>
      <c r="U39" s="99" t="str">
        <f>IF(Applications[[#This Row],[Date]]="","",Applications[[#This Row],[Date]])</f>
        <v/>
      </c>
      <c r="V39" s="18" t="str">
        <f>IF(Applications[[#This Row],[Volume of solution applied
(m3)]]="","",Applications[[#This Row],[Volume of solution applied
(m3)]])</f>
        <v/>
      </c>
      <c r="W39" s="18" t="str">
        <v/>
      </c>
      <c r="X39" s="18" t="str">
        <v/>
      </c>
      <c r="Y39" s="18">
        <v>0</v>
      </c>
      <c r="Z39" s="18">
        <v>0</v>
      </c>
    </row>
    <row r="40" spans="2:26" ht="35.1" customHeight="1" thickBot="1">
      <c r="B40" s="54">
        <v>35</v>
      </c>
      <c r="C40" s="32"/>
      <c r="D40" s="33"/>
      <c r="E40" s="104" t="str">
        <f>IF(Applications[[#This Row],[Block ID]]="","",(_xlfn.XLOOKUP(Applications[[#This Row],[Block ID]],Blocks[Block ID],Blocks[Area (ha)],"")))</f>
        <v/>
      </c>
      <c r="F40" s="33"/>
      <c r="G40" s="105" t="str">
        <f t="shared" si="0"/>
        <v/>
      </c>
      <c r="H40" s="33"/>
      <c r="I40" s="33"/>
      <c r="J40" s="33"/>
      <c r="K40" s="77"/>
      <c r="L40" s="33"/>
      <c r="M40" s="33"/>
      <c r="N40" s="23" t="str">
        <f t="shared" si="1"/>
        <v/>
      </c>
      <c r="O40" s="23">
        <f>Applications[[#This Row],[Nitrogen concentration in drain solution
 (ppm or mg/L)]]*Applications[[#This Row],[Volume of solution applied
(m3)]]/1000</f>
        <v>0</v>
      </c>
      <c r="P40" s="33"/>
      <c r="Q40" s="23" t="str">
        <f t="shared" si="2"/>
        <v/>
      </c>
      <c r="R40" s="98">
        <f>Applications[[#This Row],[Phosphorus concentration in drain solution
(ppm or mg/L)]]*Applications[[#This Row],[Volume of solution applied
(m3)]]/1000</f>
        <v>0</v>
      </c>
      <c r="S40" s="65"/>
      <c r="U40" s="99" t="str">
        <f>IF(Applications[[#This Row],[Date]]="","",Applications[[#This Row],[Date]])</f>
        <v/>
      </c>
      <c r="V40" s="18" t="str">
        <f>IF(Applications[[#This Row],[Volume of solution applied
(m3)]]="","",Applications[[#This Row],[Volume of solution applied
(m3)]])</f>
        <v/>
      </c>
      <c r="W40" s="18" t="str">
        <v/>
      </c>
      <c r="X40" s="18" t="str">
        <v/>
      </c>
      <c r="Y40" s="18">
        <v>0</v>
      </c>
      <c r="Z40" s="18">
        <v>0</v>
      </c>
    </row>
    <row r="41" spans="2:26" ht="35.1" customHeight="1" thickBot="1">
      <c r="B41" s="54">
        <v>36</v>
      </c>
      <c r="C41" s="32"/>
      <c r="D41" s="33"/>
      <c r="E41" s="104" t="str">
        <f>IF(Applications[[#This Row],[Block ID]]="","",(_xlfn.XLOOKUP(Applications[[#This Row],[Block ID]],Blocks[Block ID],Blocks[Area (ha)],"")))</f>
        <v/>
      </c>
      <c r="F41" s="33"/>
      <c r="G41" s="105" t="str">
        <f t="shared" si="0"/>
        <v/>
      </c>
      <c r="H41" s="33"/>
      <c r="I41" s="33"/>
      <c r="J41" s="33"/>
      <c r="K41" s="77"/>
      <c r="L41" s="33"/>
      <c r="M41" s="33"/>
      <c r="N41" s="23" t="str">
        <f t="shared" si="1"/>
        <v/>
      </c>
      <c r="O41" s="23">
        <f>Applications[[#This Row],[Nitrogen concentration in drain solution
 (ppm or mg/L)]]*Applications[[#This Row],[Volume of solution applied
(m3)]]/1000</f>
        <v>0</v>
      </c>
      <c r="P41" s="33"/>
      <c r="Q41" s="23" t="str">
        <f t="shared" si="2"/>
        <v/>
      </c>
      <c r="R41" s="98">
        <f>Applications[[#This Row],[Phosphorus concentration in drain solution
(ppm or mg/L)]]*Applications[[#This Row],[Volume of solution applied
(m3)]]/1000</f>
        <v>0</v>
      </c>
      <c r="S41" s="65"/>
      <c r="U41" s="99" t="str">
        <f>IF(Applications[[#This Row],[Date]]="","",Applications[[#This Row],[Date]])</f>
        <v/>
      </c>
      <c r="V41" s="18" t="str">
        <f>IF(Applications[[#This Row],[Volume of solution applied
(m3)]]="","",Applications[[#This Row],[Volume of solution applied
(m3)]])</f>
        <v/>
      </c>
      <c r="W41" s="18" t="str">
        <v/>
      </c>
      <c r="X41" s="18" t="str">
        <v/>
      </c>
      <c r="Y41" s="18">
        <v>0</v>
      </c>
      <c r="Z41" s="18">
        <v>0</v>
      </c>
    </row>
    <row r="42" spans="2:26" ht="35.1" customHeight="1" thickBot="1">
      <c r="B42" s="54">
        <v>37</v>
      </c>
      <c r="C42" s="32"/>
      <c r="D42" s="33"/>
      <c r="E42" s="104" t="str">
        <f>IF(Applications[[#This Row],[Block ID]]="","",(_xlfn.XLOOKUP(Applications[[#This Row],[Block ID]],Blocks[Block ID],Blocks[Area (ha)],"")))</f>
        <v/>
      </c>
      <c r="F42" s="33"/>
      <c r="G42" s="105" t="str">
        <f t="shared" si="0"/>
        <v/>
      </c>
      <c r="H42" s="33"/>
      <c r="I42" s="33"/>
      <c r="J42" s="33"/>
      <c r="K42" s="77"/>
      <c r="L42" s="33"/>
      <c r="M42" s="33"/>
      <c r="N42" s="23" t="str">
        <f t="shared" si="1"/>
        <v/>
      </c>
      <c r="O42" s="23">
        <f>Applications[[#This Row],[Nitrogen concentration in drain solution
 (ppm or mg/L)]]*Applications[[#This Row],[Volume of solution applied
(m3)]]/1000</f>
        <v>0</v>
      </c>
      <c r="P42" s="33"/>
      <c r="Q42" s="23" t="str">
        <f t="shared" si="2"/>
        <v/>
      </c>
      <c r="R42" s="98">
        <f>Applications[[#This Row],[Phosphorus concentration in drain solution
(ppm or mg/L)]]*Applications[[#This Row],[Volume of solution applied
(m3)]]/1000</f>
        <v>0</v>
      </c>
      <c r="S42" s="65"/>
      <c r="U42" s="99" t="str">
        <f>IF(Applications[[#This Row],[Date]]="","",Applications[[#This Row],[Date]])</f>
        <v/>
      </c>
      <c r="V42" s="18" t="str">
        <f>IF(Applications[[#This Row],[Volume of solution applied
(m3)]]="","",Applications[[#This Row],[Volume of solution applied
(m3)]])</f>
        <v/>
      </c>
      <c r="W42" s="18" t="str">
        <v/>
      </c>
      <c r="X42" s="18" t="str">
        <v/>
      </c>
      <c r="Y42" s="18">
        <v>0</v>
      </c>
      <c r="Z42" s="18">
        <v>0</v>
      </c>
    </row>
    <row r="43" spans="2:26" ht="35.1" customHeight="1" thickBot="1">
      <c r="B43" s="54">
        <v>38</v>
      </c>
      <c r="C43" s="32"/>
      <c r="D43" s="33"/>
      <c r="E43" s="104" t="str">
        <f>IF(Applications[[#This Row],[Block ID]]="","",(_xlfn.XLOOKUP(Applications[[#This Row],[Block ID]],Blocks[Block ID],Blocks[Area (ha)],"")))</f>
        <v/>
      </c>
      <c r="F43" s="33"/>
      <c r="G43" s="105" t="str">
        <f t="shared" si="0"/>
        <v/>
      </c>
      <c r="H43" s="33"/>
      <c r="I43" s="33"/>
      <c r="J43" s="33"/>
      <c r="K43" s="77"/>
      <c r="L43" s="33"/>
      <c r="M43" s="33"/>
      <c r="N43" s="23" t="str">
        <f t="shared" si="1"/>
        <v/>
      </c>
      <c r="O43" s="23">
        <f>Applications[[#This Row],[Nitrogen concentration in drain solution
 (ppm or mg/L)]]*Applications[[#This Row],[Volume of solution applied
(m3)]]/1000</f>
        <v>0</v>
      </c>
      <c r="P43" s="33"/>
      <c r="Q43" s="23" t="str">
        <f t="shared" si="2"/>
        <v/>
      </c>
      <c r="R43" s="98">
        <f>Applications[[#This Row],[Phosphorus concentration in drain solution
(ppm or mg/L)]]*Applications[[#This Row],[Volume of solution applied
(m3)]]/1000</f>
        <v>0</v>
      </c>
      <c r="S43" s="65"/>
      <c r="U43" s="99" t="str">
        <f>IF(Applications[[#This Row],[Date]]="","",Applications[[#This Row],[Date]])</f>
        <v/>
      </c>
      <c r="V43" s="18" t="str">
        <f>IF(Applications[[#This Row],[Volume of solution applied
(m3)]]="","",Applications[[#This Row],[Volume of solution applied
(m3)]])</f>
        <v/>
      </c>
      <c r="W43" s="18" t="str">
        <v/>
      </c>
      <c r="X43" s="18" t="str">
        <v/>
      </c>
      <c r="Y43" s="18">
        <v>0</v>
      </c>
      <c r="Z43" s="18">
        <v>0</v>
      </c>
    </row>
    <row r="44" spans="2:26" ht="35.1" customHeight="1" thickBot="1">
      <c r="B44" s="54">
        <v>39</v>
      </c>
      <c r="C44" s="32"/>
      <c r="D44" s="33"/>
      <c r="E44" s="104" t="str">
        <f>IF(Applications[[#This Row],[Block ID]]="","",(_xlfn.XLOOKUP(Applications[[#This Row],[Block ID]],Blocks[Block ID],Blocks[Area (ha)],"")))</f>
        <v/>
      </c>
      <c r="F44" s="33"/>
      <c r="G44" s="105" t="str">
        <f t="shared" si="0"/>
        <v/>
      </c>
      <c r="H44" s="33"/>
      <c r="I44" s="33"/>
      <c r="J44" s="33"/>
      <c r="K44" s="77"/>
      <c r="L44" s="33"/>
      <c r="M44" s="33"/>
      <c r="N44" s="23" t="str">
        <f t="shared" si="1"/>
        <v/>
      </c>
      <c r="O44" s="23">
        <f>Applications[[#This Row],[Nitrogen concentration in drain solution
 (ppm or mg/L)]]*Applications[[#This Row],[Volume of solution applied
(m3)]]/1000</f>
        <v>0</v>
      </c>
      <c r="P44" s="33"/>
      <c r="Q44" s="23" t="str">
        <f t="shared" si="2"/>
        <v/>
      </c>
      <c r="R44" s="98">
        <f>Applications[[#This Row],[Phosphorus concentration in drain solution
(ppm or mg/L)]]*Applications[[#This Row],[Volume of solution applied
(m3)]]/1000</f>
        <v>0</v>
      </c>
      <c r="S44" s="65"/>
      <c r="U44" s="99" t="str">
        <f>IF(Applications[[#This Row],[Date]]="","",Applications[[#This Row],[Date]])</f>
        <v/>
      </c>
      <c r="V44" s="18" t="str">
        <f>IF(Applications[[#This Row],[Volume of solution applied
(m3)]]="","",Applications[[#This Row],[Volume of solution applied
(m3)]])</f>
        <v/>
      </c>
      <c r="W44" s="18" t="str">
        <v/>
      </c>
      <c r="X44" s="18" t="str">
        <v/>
      </c>
      <c r="Y44" s="18">
        <v>0</v>
      </c>
      <c r="Z44" s="18">
        <v>0</v>
      </c>
    </row>
    <row r="45" spans="2:26" ht="35.1" customHeight="1" thickBot="1">
      <c r="B45" s="54">
        <v>40</v>
      </c>
      <c r="C45" s="32"/>
      <c r="D45" s="33"/>
      <c r="E45" s="104" t="str">
        <f>IF(Applications[[#This Row],[Block ID]]="","",(_xlfn.XLOOKUP(Applications[[#This Row],[Block ID]],Blocks[Block ID],Blocks[Area (ha)],"")))</f>
        <v/>
      </c>
      <c r="F45" s="33"/>
      <c r="G45" s="105" t="str">
        <f t="shared" si="0"/>
        <v/>
      </c>
      <c r="H45" s="33"/>
      <c r="I45" s="33"/>
      <c r="J45" s="33"/>
      <c r="K45" s="77"/>
      <c r="L45" s="33"/>
      <c r="M45" s="33"/>
      <c r="N45" s="23" t="str">
        <f t="shared" si="1"/>
        <v/>
      </c>
      <c r="O45" s="23">
        <f>Applications[[#This Row],[Nitrogen concentration in drain solution
 (ppm or mg/L)]]*Applications[[#This Row],[Volume of solution applied
(m3)]]/1000</f>
        <v>0</v>
      </c>
      <c r="P45" s="33"/>
      <c r="Q45" s="23" t="str">
        <f t="shared" si="2"/>
        <v/>
      </c>
      <c r="R45" s="98">
        <f>Applications[[#This Row],[Phosphorus concentration in drain solution
(ppm or mg/L)]]*Applications[[#This Row],[Volume of solution applied
(m3)]]/1000</f>
        <v>0</v>
      </c>
      <c r="S45" s="65"/>
      <c r="U45" s="99" t="str">
        <f>IF(Applications[[#This Row],[Date]]="","",Applications[[#This Row],[Date]])</f>
        <v/>
      </c>
      <c r="V45" s="18" t="str">
        <f>IF(Applications[[#This Row],[Volume of solution applied
(m3)]]="","",Applications[[#This Row],[Volume of solution applied
(m3)]])</f>
        <v/>
      </c>
      <c r="W45" s="18" t="str">
        <v/>
      </c>
      <c r="X45" s="18" t="str">
        <v/>
      </c>
      <c r="Y45" s="18">
        <v>0</v>
      </c>
      <c r="Z45" s="18">
        <v>0</v>
      </c>
    </row>
    <row r="46" spans="2:26" ht="35.1" customHeight="1" thickBot="1">
      <c r="B46" s="54">
        <v>41</v>
      </c>
      <c r="C46" s="32"/>
      <c r="D46" s="33"/>
      <c r="E46" s="104" t="str">
        <f>IF(Applications[[#This Row],[Block ID]]="","",(_xlfn.XLOOKUP(Applications[[#This Row],[Block ID]],Blocks[Block ID],Blocks[Area (ha)],"")))</f>
        <v/>
      </c>
      <c r="F46" s="33"/>
      <c r="G46" s="105" t="str">
        <f t="shared" si="0"/>
        <v/>
      </c>
      <c r="H46" s="33"/>
      <c r="I46" s="33"/>
      <c r="J46" s="33"/>
      <c r="K46" s="77"/>
      <c r="L46" s="33"/>
      <c r="M46" s="33"/>
      <c r="N46" s="23" t="str">
        <f t="shared" si="1"/>
        <v/>
      </c>
      <c r="O46" s="23">
        <f>Applications[[#This Row],[Nitrogen concentration in drain solution
 (ppm or mg/L)]]*Applications[[#This Row],[Volume of solution applied
(m3)]]/1000</f>
        <v>0</v>
      </c>
      <c r="P46" s="33"/>
      <c r="Q46" s="23" t="str">
        <f t="shared" si="2"/>
        <v/>
      </c>
      <c r="R46" s="98">
        <f>Applications[[#This Row],[Phosphorus concentration in drain solution
(ppm or mg/L)]]*Applications[[#This Row],[Volume of solution applied
(m3)]]/1000</f>
        <v>0</v>
      </c>
      <c r="S46" s="65"/>
      <c r="U46" s="99" t="str">
        <f>IF(Applications[[#This Row],[Date]]="","",Applications[[#This Row],[Date]])</f>
        <v/>
      </c>
      <c r="V46" s="18" t="str">
        <f>IF(Applications[[#This Row],[Volume of solution applied
(m3)]]="","",Applications[[#This Row],[Volume of solution applied
(m3)]])</f>
        <v/>
      </c>
      <c r="W46" s="18" t="str">
        <v/>
      </c>
      <c r="X46" s="18" t="str">
        <v/>
      </c>
      <c r="Y46" s="18">
        <v>0</v>
      </c>
      <c r="Z46" s="18">
        <v>0</v>
      </c>
    </row>
    <row r="47" spans="2:26" ht="35.1" customHeight="1" thickBot="1">
      <c r="B47" s="54">
        <v>42</v>
      </c>
      <c r="C47" s="32"/>
      <c r="D47" s="33"/>
      <c r="E47" s="104" t="str">
        <f>IF(Applications[[#This Row],[Block ID]]="","",(_xlfn.XLOOKUP(Applications[[#This Row],[Block ID]],Blocks[Block ID],Blocks[Area (ha)],"")))</f>
        <v/>
      </c>
      <c r="F47" s="33"/>
      <c r="G47" s="105" t="str">
        <f t="shared" si="0"/>
        <v/>
      </c>
      <c r="H47" s="33"/>
      <c r="I47" s="33"/>
      <c r="J47" s="33"/>
      <c r="K47" s="77"/>
      <c r="L47" s="33"/>
      <c r="M47" s="33"/>
      <c r="N47" s="23" t="str">
        <f t="shared" si="1"/>
        <v/>
      </c>
      <c r="O47" s="23">
        <f>Applications[[#This Row],[Nitrogen concentration in drain solution
 (ppm or mg/L)]]*Applications[[#This Row],[Volume of solution applied
(m3)]]/1000</f>
        <v>0</v>
      </c>
      <c r="P47" s="33"/>
      <c r="Q47" s="23" t="str">
        <f t="shared" si="2"/>
        <v/>
      </c>
      <c r="R47" s="98">
        <f>Applications[[#This Row],[Phosphorus concentration in drain solution
(ppm or mg/L)]]*Applications[[#This Row],[Volume of solution applied
(m3)]]/1000</f>
        <v>0</v>
      </c>
      <c r="S47" s="65"/>
      <c r="U47" s="99" t="str">
        <f>IF(Applications[[#This Row],[Date]]="","",Applications[[#This Row],[Date]])</f>
        <v/>
      </c>
      <c r="V47" s="18" t="str">
        <f>IF(Applications[[#This Row],[Volume of solution applied
(m3)]]="","",Applications[[#This Row],[Volume of solution applied
(m3)]])</f>
        <v/>
      </c>
      <c r="W47" s="18" t="str">
        <v/>
      </c>
      <c r="X47" s="18" t="str">
        <v/>
      </c>
      <c r="Y47" s="18">
        <v>0</v>
      </c>
      <c r="Z47" s="18">
        <v>0</v>
      </c>
    </row>
    <row r="48" spans="2:26" ht="35.1" customHeight="1" thickBot="1">
      <c r="B48" s="54">
        <v>43</v>
      </c>
      <c r="C48" s="32"/>
      <c r="D48" s="33"/>
      <c r="E48" s="104" t="str">
        <f>IF(Applications[[#This Row],[Block ID]]="","",(_xlfn.XLOOKUP(Applications[[#This Row],[Block ID]],Blocks[Block ID],Blocks[Area (ha)],"")))</f>
        <v/>
      </c>
      <c r="F48" s="33"/>
      <c r="G48" s="105" t="str">
        <f t="shared" si="0"/>
        <v/>
      </c>
      <c r="H48" s="33"/>
      <c r="I48" s="33"/>
      <c r="J48" s="33"/>
      <c r="K48" s="77"/>
      <c r="L48" s="33"/>
      <c r="M48" s="33"/>
      <c r="N48" s="23" t="str">
        <f t="shared" si="1"/>
        <v/>
      </c>
      <c r="O48" s="23">
        <f>Applications[[#This Row],[Nitrogen concentration in drain solution
 (ppm or mg/L)]]*Applications[[#This Row],[Volume of solution applied
(m3)]]/1000</f>
        <v>0</v>
      </c>
      <c r="P48" s="33"/>
      <c r="Q48" s="23" t="str">
        <f t="shared" si="2"/>
        <v/>
      </c>
      <c r="R48" s="98">
        <f>Applications[[#This Row],[Phosphorus concentration in drain solution
(ppm or mg/L)]]*Applications[[#This Row],[Volume of solution applied
(m3)]]/1000</f>
        <v>0</v>
      </c>
      <c r="S48" s="65"/>
      <c r="U48" s="99" t="str">
        <f>IF(Applications[[#This Row],[Date]]="","",Applications[[#This Row],[Date]])</f>
        <v/>
      </c>
      <c r="V48" s="18" t="str">
        <f>IF(Applications[[#This Row],[Volume of solution applied
(m3)]]="","",Applications[[#This Row],[Volume of solution applied
(m3)]])</f>
        <v/>
      </c>
      <c r="W48" s="18" t="str">
        <v/>
      </c>
      <c r="X48" s="18" t="str">
        <v/>
      </c>
      <c r="Y48" s="18">
        <v>0</v>
      </c>
      <c r="Z48" s="18">
        <v>0</v>
      </c>
    </row>
    <row r="49" spans="2:26" ht="35.1" customHeight="1" thickBot="1">
      <c r="B49" s="54">
        <v>44</v>
      </c>
      <c r="C49" s="32"/>
      <c r="D49" s="33"/>
      <c r="E49" s="104" t="str">
        <f>IF(Applications[[#This Row],[Block ID]]="","",(_xlfn.XLOOKUP(Applications[[#This Row],[Block ID]],Blocks[Block ID],Blocks[Area (ha)],"")))</f>
        <v/>
      </c>
      <c r="F49" s="33"/>
      <c r="G49" s="105" t="str">
        <f t="shared" si="0"/>
        <v/>
      </c>
      <c r="H49" s="33"/>
      <c r="I49" s="33"/>
      <c r="J49" s="33"/>
      <c r="K49" s="77"/>
      <c r="L49" s="33"/>
      <c r="M49" s="33"/>
      <c r="N49" s="23" t="str">
        <f t="shared" si="1"/>
        <v/>
      </c>
      <c r="O49" s="23">
        <f>Applications[[#This Row],[Nitrogen concentration in drain solution
 (ppm or mg/L)]]*Applications[[#This Row],[Volume of solution applied
(m3)]]/1000</f>
        <v>0</v>
      </c>
      <c r="P49" s="33"/>
      <c r="Q49" s="23" t="str">
        <f t="shared" si="2"/>
        <v/>
      </c>
      <c r="R49" s="98">
        <f>Applications[[#This Row],[Phosphorus concentration in drain solution
(ppm or mg/L)]]*Applications[[#This Row],[Volume of solution applied
(m3)]]/1000</f>
        <v>0</v>
      </c>
      <c r="S49" s="65"/>
      <c r="U49" s="99" t="str">
        <f>IF(Applications[[#This Row],[Date]]="","",Applications[[#This Row],[Date]])</f>
        <v/>
      </c>
      <c r="V49" s="18" t="str">
        <f>IF(Applications[[#This Row],[Volume of solution applied
(m3)]]="","",Applications[[#This Row],[Volume of solution applied
(m3)]])</f>
        <v/>
      </c>
      <c r="W49" s="18" t="str">
        <v/>
      </c>
      <c r="X49" s="18" t="str">
        <v/>
      </c>
      <c r="Y49" s="18">
        <v>0</v>
      </c>
      <c r="Z49" s="18">
        <v>0</v>
      </c>
    </row>
    <row r="50" spans="2:26" ht="35.1" customHeight="1" thickBot="1">
      <c r="B50" s="54">
        <v>45</v>
      </c>
      <c r="C50" s="32"/>
      <c r="D50" s="33"/>
      <c r="E50" s="104" t="str">
        <f>IF(Applications[[#This Row],[Block ID]]="","",(_xlfn.XLOOKUP(Applications[[#This Row],[Block ID]],Blocks[Block ID],Blocks[Area (ha)],"")))</f>
        <v/>
      </c>
      <c r="F50" s="33"/>
      <c r="G50" s="105" t="str">
        <f t="shared" si="0"/>
        <v/>
      </c>
      <c r="H50" s="33"/>
      <c r="I50" s="33"/>
      <c r="J50" s="33"/>
      <c r="K50" s="77"/>
      <c r="L50" s="33"/>
      <c r="M50" s="33"/>
      <c r="N50" s="23" t="str">
        <f t="shared" si="1"/>
        <v/>
      </c>
      <c r="O50" s="23">
        <f>Applications[[#This Row],[Nitrogen concentration in drain solution
 (ppm or mg/L)]]*Applications[[#This Row],[Volume of solution applied
(m3)]]/1000</f>
        <v>0</v>
      </c>
      <c r="P50" s="33"/>
      <c r="Q50" s="23" t="str">
        <f t="shared" si="2"/>
        <v/>
      </c>
      <c r="R50" s="98">
        <f>Applications[[#This Row],[Phosphorus concentration in drain solution
(ppm or mg/L)]]*Applications[[#This Row],[Volume of solution applied
(m3)]]/1000</f>
        <v>0</v>
      </c>
      <c r="S50" s="65"/>
      <c r="U50" s="99" t="str">
        <f>IF(Applications[[#This Row],[Date]]="","",Applications[[#This Row],[Date]])</f>
        <v/>
      </c>
      <c r="V50" s="18" t="str">
        <f>IF(Applications[[#This Row],[Volume of solution applied
(m3)]]="","",Applications[[#This Row],[Volume of solution applied
(m3)]])</f>
        <v/>
      </c>
      <c r="W50" s="18" t="str">
        <v/>
      </c>
      <c r="X50" s="18" t="str">
        <v/>
      </c>
      <c r="Y50" s="18">
        <v>0</v>
      </c>
      <c r="Z50" s="18">
        <v>0</v>
      </c>
    </row>
    <row r="51" spans="2:26" ht="35.1" customHeight="1" thickBot="1">
      <c r="B51" s="54">
        <v>46</v>
      </c>
      <c r="C51" s="32"/>
      <c r="D51" s="33"/>
      <c r="E51" s="104" t="str">
        <f>IF(Applications[[#This Row],[Block ID]]="","",(_xlfn.XLOOKUP(Applications[[#This Row],[Block ID]],Blocks[Block ID],Blocks[Area (ha)],"")))</f>
        <v/>
      </c>
      <c r="F51" s="33"/>
      <c r="G51" s="105" t="str">
        <f t="shared" si="0"/>
        <v/>
      </c>
      <c r="H51" s="33"/>
      <c r="I51" s="33"/>
      <c r="J51" s="33"/>
      <c r="K51" s="77"/>
      <c r="L51" s="33"/>
      <c r="M51" s="33"/>
      <c r="N51" s="23" t="str">
        <f t="shared" si="1"/>
        <v/>
      </c>
      <c r="O51" s="23">
        <f>Applications[[#This Row],[Nitrogen concentration in drain solution
 (ppm or mg/L)]]*Applications[[#This Row],[Volume of solution applied
(m3)]]/1000</f>
        <v>0</v>
      </c>
      <c r="P51" s="33"/>
      <c r="Q51" s="23" t="str">
        <f t="shared" si="2"/>
        <v/>
      </c>
      <c r="R51" s="98">
        <f>Applications[[#This Row],[Phosphorus concentration in drain solution
(ppm or mg/L)]]*Applications[[#This Row],[Volume of solution applied
(m3)]]/1000</f>
        <v>0</v>
      </c>
      <c r="S51" s="65"/>
      <c r="U51" s="99" t="str">
        <f>IF(Applications[[#This Row],[Date]]="","",Applications[[#This Row],[Date]])</f>
        <v/>
      </c>
      <c r="V51" s="18" t="str">
        <f>IF(Applications[[#This Row],[Volume of solution applied
(m3)]]="","",Applications[[#This Row],[Volume of solution applied
(m3)]])</f>
        <v/>
      </c>
      <c r="W51" s="18" t="str">
        <v/>
      </c>
      <c r="X51" s="18" t="str">
        <v/>
      </c>
      <c r="Y51" s="18">
        <v>0</v>
      </c>
      <c r="Z51" s="18">
        <v>0</v>
      </c>
    </row>
    <row r="52" spans="2:26" ht="35.1" customHeight="1" thickBot="1">
      <c r="B52" s="54">
        <v>47</v>
      </c>
      <c r="C52" s="32"/>
      <c r="D52" s="33"/>
      <c r="E52" s="104" t="str">
        <f>IF(Applications[[#This Row],[Block ID]]="","",(_xlfn.XLOOKUP(Applications[[#This Row],[Block ID]],Blocks[Block ID],Blocks[Area (ha)],"")))</f>
        <v/>
      </c>
      <c r="F52" s="33"/>
      <c r="G52" s="105" t="str">
        <f t="shared" si="0"/>
        <v/>
      </c>
      <c r="H52" s="33"/>
      <c r="I52" s="33"/>
      <c r="J52" s="33"/>
      <c r="K52" s="77"/>
      <c r="L52" s="33"/>
      <c r="M52" s="33"/>
      <c r="N52" s="23" t="str">
        <f t="shared" si="1"/>
        <v/>
      </c>
      <c r="O52" s="23">
        <f>Applications[[#This Row],[Nitrogen concentration in drain solution
 (ppm or mg/L)]]*Applications[[#This Row],[Volume of solution applied
(m3)]]/1000</f>
        <v>0</v>
      </c>
      <c r="P52" s="33"/>
      <c r="Q52" s="23" t="str">
        <f t="shared" si="2"/>
        <v/>
      </c>
      <c r="R52" s="98">
        <f>Applications[[#This Row],[Phosphorus concentration in drain solution
(ppm or mg/L)]]*Applications[[#This Row],[Volume of solution applied
(m3)]]/1000</f>
        <v>0</v>
      </c>
      <c r="S52" s="65"/>
      <c r="U52" s="99" t="str">
        <f>IF(Applications[[#This Row],[Date]]="","",Applications[[#This Row],[Date]])</f>
        <v/>
      </c>
      <c r="V52" s="18" t="str">
        <f>IF(Applications[[#This Row],[Volume of solution applied
(m3)]]="","",Applications[[#This Row],[Volume of solution applied
(m3)]])</f>
        <v/>
      </c>
      <c r="W52" s="18" t="str">
        <v/>
      </c>
      <c r="X52" s="18" t="str">
        <v/>
      </c>
      <c r="Y52" s="18">
        <v>0</v>
      </c>
      <c r="Z52" s="18">
        <v>0</v>
      </c>
    </row>
    <row r="53" spans="2:26" ht="35.1" customHeight="1" thickBot="1">
      <c r="B53" s="54">
        <v>48</v>
      </c>
      <c r="C53" s="32"/>
      <c r="D53" s="33"/>
      <c r="E53" s="104" t="str">
        <f>IF(Applications[[#This Row],[Block ID]]="","",(_xlfn.XLOOKUP(Applications[[#This Row],[Block ID]],Blocks[Block ID],Blocks[Area (ha)],"")))</f>
        <v/>
      </c>
      <c r="F53" s="33"/>
      <c r="G53" s="105" t="str">
        <f t="shared" si="0"/>
        <v/>
      </c>
      <c r="H53" s="33"/>
      <c r="I53" s="33"/>
      <c r="J53" s="33"/>
      <c r="K53" s="77"/>
      <c r="L53" s="33"/>
      <c r="M53" s="33"/>
      <c r="N53" s="23" t="str">
        <f t="shared" si="1"/>
        <v/>
      </c>
      <c r="O53" s="23">
        <f>Applications[[#This Row],[Nitrogen concentration in drain solution
 (ppm or mg/L)]]*Applications[[#This Row],[Volume of solution applied
(m3)]]/1000</f>
        <v>0</v>
      </c>
      <c r="P53" s="33"/>
      <c r="Q53" s="23" t="str">
        <f t="shared" si="2"/>
        <v/>
      </c>
      <c r="R53" s="98">
        <f>Applications[[#This Row],[Phosphorus concentration in drain solution
(ppm or mg/L)]]*Applications[[#This Row],[Volume of solution applied
(m3)]]/1000</f>
        <v>0</v>
      </c>
      <c r="S53" s="65"/>
      <c r="U53" s="99" t="str">
        <f>IF(Applications[[#This Row],[Date]]="","",Applications[[#This Row],[Date]])</f>
        <v/>
      </c>
      <c r="V53" s="18" t="str">
        <f>IF(Applications[[#This Row],[Volume of solution applied
(m3)]]="","",Applications[[#This Row],[Volume of solution applied
(m3)]])</f>
        <v/>
      </c>
      <c r="W53" s="18" t="str">
        <v/>
      </c>
      <c r="X53" s="18" t="str">
        <v/>
      </c>
      <c r="Y53" s="18">
        <v>0</v>
      </c>
      <c r="Z53" s="18">
        <v>0</v>
      </c>
    </row>
    <row r="54" spans="2:26" ht="35.1" customHeight="1" thickBot="1">
      <c r="B54" s="54">
        <v>49</v>
      </c>
      <c r="C54" s="32"/>
      <c r="D54" s="33"/>
      <c r="E54" s="104" t="str">
        <f>IF(Applications[[#This Row],[Block ID]]="","",(_xlfn.XLOOKUP(Applications[[#This Row],[Block ID]],Blocks[Block ID],Blocks[Area (ha)],"")))</f>
        <v/>
      </c>
      <c r="F54" s="33"/>
      <c r="G54" s="105" t="str">
        <f t="shared" si="0"/>
        <v/>
      </c>
      <c r="H54" s="33"/>
      <c r="I54" s="33"/>
      <c r="J54" s="33"/>
      <c r="K54" s="77"/>
      <c r="L54" s="33"/>
      <c r="M54" s="33"/>
      <c r="N54" s="23" t="str">
        <f t="shared" si="1"/>
        <v/>
      </c>
      <c r="O54" s="23">
        <f>Applications[[#This Row],[Nitrogen concentration in drain solution
 (ppm or mg/L)]]*Applications[[#This Row],[Volume of solution applied
(m3)]]/1000</f>
        <v>0</v>
      </c>
      <c r="P54" s="33"/>
      <c r="Q54" s="23" t="str">
        <f t="shared" si="2"/>
        <v/>
      </c>
      <c r="R54" s="98">
        <f>Applications[[#This Row],[Phosphorus concentration in drain solution
(ppm or mg/L)]]*Applications[[#This Row],[Volume of solution applied
(m3)]]/1000</f>
        <v>0</v>
      </c>
      <c r="S54" s="65"/>
      <c r="U54" s="99" t="str">
        <f>IF(Applications[[#This Row],[Date]]="","",Applications[[#This Row],[Date]])</f>
        <v/>
      </c>
      <c r="V54" s="18" t="str">
        <f>IF(Applications[[#This Row],[Volume of solution applied
(m3)]]="","",Applications[[#This Row],[Volume of solution applied
(m3)]])</f>
        <v/>
      </c>
      <c r="W54" s="18" t="str">
        <v/>
      </c>
      <c r="X54" s="18" t="str">
        <v/>
      </c>
      <c r="Y54" s="18">
        <v>0</v>
      </c>
      <c r="Z54" s="18">
        <v>0</v>
      </c>
    </row>
    <row r="55" spans="2:26" ht="35.1" customHeight="1" thickBot="1">
      <c r="B55" s="54">
        <v>50</v>
      </c>
      <c r="C55" s="32"/>
      <c r="D55" s="33"/>
      <c r="E55" s="104" t="str">
        <f>IF(Applications[[#This Row],[Block ID]]="","",(_xlfn.XLOOKUP(Applications[[#This Row],[Block ID]],Blocks[Block ID],Blocks[Area (ha)],"")))</f>
        <v/>
      </c>
      <c r="F55" s="33"/>
      <c r="G55" s="105" t="str">
        <f t="shared" si="0"/>
        <v/>
      </c>
      <c r="H55" s="33"/>
      <c r="I55" s="33"/>
      <c r="J55" s="33"/>
      <c r="K55" s="77"/>
      <c r="L55" s="33"/>
      <c r="M55" s="33"/>
      <c r="N55" s="23" t="str">
        <f t="shared" si="1"/>
        <v/>
      </c>
      <c r="O55" s="23">
        <f>Applications[[#This Row],[Nitrogen concentration in drain solution
 (ppm or mg/L)]]*Applications[[#This Row],[Volume of solution applied
(m3)]]/1000</f>
        <v>0</v>
      </c>
      <c r="P55" s="33"/>
      <c r="Q55" s="23" t="str">
        <f t="shared" si="2"/>
        <v/>
      </c>
      <c r="R55" s="98">
        <f>Applications[[#This Row],[Phosphorus concentration in drain solution
(ppm or mg/L)]]*Applications[[#This Row],[Volume of solution applied
(m3)]]/1000</f>
        <v>0</v>
      </c>
      <c r="S55" s="65"/>
      <c r="U55" s="99" t="str">
        <f>IF(Applications[[#This Row],[Date]]="","",Applications[[#This Row],[Date]])</f>
        <v/>
      </c>
      <c r="V55" s="18" t="str">
        <f>IF(Applications[[#This Row],[Volume of solution applied
(m3)]]="","",Applications[[#This Row],[Volume of solution applied
(m3)]])</f>
        <v/>
      </c>
      <c r="W55" s="18" t="str">
        <v/>
      </c>
      <c r="X55" s="18" t="str">
        <v/>
      </c>
      <c r="Y55" s="18">
        <v>0</v>
      </c>
      <c r="Z55" s="18">
        <v>0</v>
      </c>
    </row>
    <row r="56" spans="2:26" ht="35.1" customHeight="1" thickBot="1">
      <c r="B56" s="54">
        <v>51</v>
      </c>
      <c r="C56" s="32"/>
      <c r="D56" s="33"/>
      <c r="E56" s="104" t="str">
        <f>IF(Applications[[#This Row],[Block ID]]="","",(_xlfn.XLOOKUP(Applications[[#This Row],[Block ID]],Blocks[Block ID],Blocks[Area (ha)],"")))</f>
        <v/>
      </c>
      <c r="F56" s="33"/>
      <c r="G56" s="105" t="str">
        <f t="shared" si="0"/>
        <v/>
      </c>
      <c r="H56" s="33"/>
      <c r="I56" s="33"/>
      <c r="J56" s="33"/>
      <c r="K56" s="77"/>
      <c r="L56" s="33"/>
      <c r="M56" s="33"/>
      <c r="N56" s="23" t="str">
        <f t="shared" si="1"/>
        <v/>
      </c>
      <c r="O56" s="23">
        <f>Applications[[#This Row],[Nitrogen concentration in drain solution
 (ppm or mg/L)]]*Applications[[#This Row],[Volume of solution applied
(m3)]]/1000</f>
        <v>0</v>
      </c>
      <c r="P56" s="33"/>
      <c r="Q56" s="23" t="str">
        <f t="shared" si="2"/>
        <v/>
      </c>
      <c r="R56" s="98">
        <f>Applications[[#This Row],[Phosphorus concentration in drain solution
(ppm or mg/L)]]*Applications[[#This Row],[Volume of solution applied
(m3)]]/1000</f>
        <v>0</v>
      </c>
      <c r="S56" s="65"/>
      <c r="U56" s="99" t="str">
        <f>IF(Applications[[#This Row],[Date]]="","",Applications[[#This Row],[Date]])</f>
        <v/>
      </c>
      <c r="V56" s="18" t="str">
        <f>IF(Applications[[#This Row],[Volume of solution applied
(m3)]]="","",Applications[[#This Row],[Volume of solution applied
(m3)]])</f>
        <v/>
      </c>
      <c r="W56" s="18" t="str">
        <v/>
      </c>
      <c r="X56" s="18" t="str">
        <v/>
      </c>
      <c r="Y56" s="18">
        <v>0</v>
      </c>
      <c r="Z56" s="18">
        <v>0</v>
      </c>
    </row>
    <row r="57" spans="2:26" ht="35.1" customHeight="1" thickBot="1">
      <c r="B57" s="54">
        <v>52</v>
      </c>
      <c r="C57" s="32"/>
      <c r="D57" s="33"/>
      <c r="E57" s="104" t="str">
        <f>IF(Applications[[#This Row],[Block ID]]="","",(_xlfn.XLOOKUP(Applications[[#This Row],[Block ID]],Blocks[Block ID],Blocks[Area (ha)],"")))</f>
        <v/>
      </c>
      <c r="F57" s="33"/>
      <c r="G57" s="105" t="str">
        <f t="shared" si="0"/>
        <v/>
      </c>
      <c r="H57" s="33"/>
      <c r="I57" s="33"/>
      <c r="J57" s="33"/>
      <c r="K57" s="77"/>
      <c r="L57" s="33"/>
      <c r="M57" s="33"/>
      <c r="N57" s="23" t="str">
        <f t="shared" si="1"/>
        <v/>
      </c>
      <c r="O57" s="23">
        <f>Applications[[#This Row],[Nitrogen concentration in drain solution
 (ppm or mg/L)]]*Applications[[#This Row],[Volume of solution applied
(m3)]]/1000</f>
        <v>0</v>
      </c>
      <c r="P57" s="33"/>
      <c r="Q57" s="23" t="str">
        <f t="shared" si="2"/>
        <v/>
      </c>
      <c r="R57" s="98">
        <f>Applications[[#This Row],[Phosphorus concentration in drain solution
(ppm or mg/L)]]*Applications[[#This Row],[Volume of solution applied
(m3)]]/1000</f>
        <v>0</v>
      </c>
      <c r="S57" s="65"/>
      <c r="U57" s="99" t="str">
        <f>IF(Applications[[#This Row],[Date]]="","",Applications[[#This Row],[Date]])</f>
        <v/>
      </c>
      <c r="V57" s="18" t="str">
        <f>IF(Applications[[#This Row],[Volume of solution applied
(m3)]]="","",Applications[[#This Row],[Volume of solution applied
(m3)]])</f>
        <v/>
      </c>
      <c r="W57" s="18" t="str">
        <v/>
      </c>
      <c r="X57" s="18" t="str">
        <v/>
      </c>
      <c r="Y57" s="18">
        <v>0</v>
      </c>
      <c r="Z57" s="18">
        <v>0</v>
      </c>
    </row>
    <row r="58" spans="2:26" ht="35.1" customHeight="1" thickBot="1">
      <c r="B58" s="54">
        <v>53</v>
      </c>
      <c r="C58" s="32"/>
      <c r="D58" s="33"/>
      <c r="E58" s="104" t="str">
        <f>IF(Applications[[#This Row],[Block ID]]="","",(_xlfn.XLOOKUP(Applications[[#This Row],[Block ID]],Blocks[Block ID],Blocks[Area (ha)],"")))</f>
        <v/>
      </c>
      <c r="F58" s="33"/>
      <c r="G58" s="105" t="str">
        <f t="shared" si="0"/>
        <v/>
      </c>
      <c r="H58" s="33"/>
      <c r="I58" s="33"/>
      <c r="J58" s="33"/>
      <c r="K58" s="77"/>
      <c r="L58" s="33"/>
      <c r="M58" s="33"/>
      <c r="N58" s="23" t="str">
        <f t="shared" si="1"/>
        <v/>
      </c>
      <c r="O58" s="23">
        <f>Applications[[#This Row],[Nitrogen concentration in drain solution
 (ppm or mg/L)]]*Applications[[#This Row],[Volume of solution applied
(m3)]]/1000</f>
        <v>0</v>
      </c>
      <c r="P58" s="33"/>
      <c r="Q58" s="23" t="str">
        <f t="shared" si="2"/>
        <v/>
      </c>
      <c r="R58" s="98">
        <f>Applications[[#This Row],[Phosphorus concentration in drain solution
(ppm or mg/L)]]*Applications[[#This Row],[Volume of solution applied
(m3)]]/1000</f>
        <v>0</v>
      </c>
      <c r="S58" s="65"/>
      <c r="U58" s="99" t="str">
        <f>IF(Applications[[#This Row],[Date]]="","",Applications[[#This Row],[Date]])</f>
        <v/>
      </c>
      <c r="V58" s="18" t="str">
        <f>IF(Applications[[#This Row],[Volume of solution applied
(m3)]]="","",Applications[[#This Row],[Volume of solution applied
(m3)]])</f>
        <v/>
      </c>
      <c r="W58" s="18" t="str">
        <v/>
      </c>
      <c r="X58" s="18" t="str">
        <v/>
      </c>
      <c r="Y58" s="18">
        <v>0</v>
      </c>
      <c r="Z58" s="18">
        <v>0</v>
      </c>
    </row>
    <row r="59" spans="2:26" ht="35.1" customHeight="1" thickBot="1">
      <c r="B59" s="54">
        <v>54</v>
      </c>
      <c r="C59" s="32"/>
      <c r="D59" s="33"/>
      <c r="E59" s="104" t="str">
        <f>IF(Applications[[#This Row],[Block ID]]="","",(_xlfn.XLOOKUP(Applications[[#This Row],[Block ID]],Blocks[Block ID],Blocks[Area (ha)],"")))</f>
        <v/>
      </c>
      <c r="F59" s="33"/>
      <c r="G59" s="105" t="str">
        <f t="shared" si="0"/>
        <v/>
      </c>
      <c r="H59" s="33"/>
      <c r="I59" s="33"/>
      <c r="J59" s="33"/>
      <c r="K59" s="77"/>
      <c r="L59" s="33"/>
      <c r="M59" s="33"/>
      <c r="N59" s="23" t="str">
        <f t="shared" si="1"/>
        <v/>
      </c>
      <c r="O59" s="23">
        <f>Applications[[#This Row],[Nitrogen concentration in drain solution
 (ppm or mg/L)]]*Applications[[#This Row],[Volume of solution applied
(m3)]]/1000</f>
        <v>0</v>
      </c>
      <c r="P59" s="33"/>
      <c r="Q59" s="23" t="str">
        <f t="shared" si="2"/>
        <v/>
      </c>
      <c r="R59" s="98">
        <f>Applications[[#This Row],[Phosphorus concentration in drain solution
(ppm or mg/L)]]*Applications[[#This Row],[Volume of solution applied
(m3)]]/1000</f>
        <v>0</v>
      </c>
      <c r="S59" s="65"/>
      <c r="U59" s="99" t="str">
        <f>IF(Applications[[#This Row],[Date]]="","",Applications[[#This Row],[Date]])</f>
        <v/>
      </c>
      <c r="V59" s="18" t="str">
        <f>IF(Applications[[#This Row],[Volume of solution applied
(m3)]]="","",Applications[[#This Row],[Volume of solution applied
(m3)]])</f>
        <v/>
      </c>
      <c r="W59" s="18" t="str">
        <v/>
      </c>
      <c r="X59" s="18" t="str">
        <v/>
      </c>
      <c r="Y59" s="18">
        <v>0</v>
      </c>
      <c r="Z59" s="18">
        <v>0</v>
      </c>
    </row>
    <row r="60" spans="2:26" ht="35.1" customHeight="1" thickBot="1">
      <c r="B60" s="54">
        <v>55</v>
      </c>
      <c r="C60" s="32"/>
      <c r="D60" s="33"/>
      <c r="E60" s="104" t="str">
        <f>IF(Applications[[#This Row],[Block ID]]="","",(_xlfn.XLOOKUP(Applications[[#This Row],[Block ID]],Blocks[Block ID],Blocks[Area (ha)],"")))</f>
        <v/>
      </c>
      <c r="F60" s="33"/>
      <c r="G60" s="105" t="str">
        <f t="shared" si="0"/>
        <v/>
      </c>
      <c r="H60" s="33"/>
      <c r="I60" s="33"/>
      <c r="J60" s="33"/>
      <c r="K60" s="77"/>
      <c r="L60" s="33"/>
      <c r="M60" s="33"/>
      <c r="N60" s="23" t="str">
        <f t="shared" si="1"/>
        <v/>
      </c>
      <c r="O60" s="23">
        <f>Applications[[#This Row],[Nitrogen concentration in drain solution
 (ppm or mg/L)]]*Applications[[#This Row],[Volume of solution applied
(m3)]]/1000</f>
        <v>0</v>
      </c>
      <c r="P60" s="33"/>
      <c r="Q60" s="23" t="str">
        <f t="shared" si="2"/>
        <v/>
      </c>
      <c r="R60" s="98">
        <f>Applications[[#This Row],[Phosphorus concentration in drain solution
(ppm or mg/L)]]*Applications[[#This Row],[Volume of solution applied
(m3)]]/1000</f>
        <v>0</v>
      </c>
      <c r="S60" s="65"/>
      <c r="U60" s="99" t="str">
        <f>IF(Applications[[#This Row],[Date]]="","",Applications[[#This Row],[Date]])</f>
        <v/>
      </c>
      <c r="V60" s="18" t="str">
        <f>IF(Applications[[#This Row],[Volume of solution applied
(m3)]]="","",Applications[[#This Row],[Volume of solution applied
(m3)]])</f>
        <v/>
      </c>
      <c r="W60" s="18" t="str">
        <v/>
      </c>
      <c r="X60" s="18" t="str">
        <v/>
      </c>
      <c r="Y60" s="18">
        <v>0</v>
      </c>
      <c r="Z60" s="18">
        <v>0</v>
      </c>
    </row>
    <row r="61" spans="2:26" ht="35.1" customHeight="1" thickBot="1">
      <c r="B61" s="54">
        <v>56</v>
      </c>
      <c r="C61" s="32"/>
      <c r="D61" s="33"/>
      <c r="E61" s="104" t="str">
        <f>IF(Applications[[#This Row],[Block ID]]="","",(_xlfn.XLOOKUP(Applications[[#This Row],[Block ID]],Blocks[Block ID],Blocks[Area (ha)],"")))</f>
        <v/>
      </c>
      <c r="F61" s="33"/>
      <c r="G61" s="105" t="str">
        <f t="shared" si="0"/>
        <v/>
      </c>
      <c r="H61" s="33"/>
      <c r="I61" s="33"/>
      <c r="J61" s="33"/>
      <c r="K61" s="77"/>
      <c r="L61" s="33"/>
      <c r="M61" s="33"/>
      <c r="N61" s="23" t="str">
        <f t="shared" si="1"/>
        <v/>
      </c>
      <c r="O61" s="23">
        <f>Applications[[#This Row],[Nitrogen concentration in drain solution
 (ppm or mg/L)]]*Applications[[#This Row],[Volume of solution applied
(m3)]]/1000</f>
        <v>0</v>
      </c>
      <c r="P61" s="33"/>
      <c r="Q61" s="23" t="str">
        <f t="shared" si="2"/>
        <v/>
      </c>
      <c r="R61" s="98">
        <f>Applications[[#This Row],[Phosphorus concentration in drain solution
(ppm or mg/L)]]*Applications[[#This Row],[Volume of solution applied
(m3)]]/1000</f>
        <v>0</v>
      </c>
      <c r="S61" s="65"/>
      <c r="U61" s="99" t="str">
        <f>IF(Applications[[#This Row],[Date]]="","",Applications[[#This Row],[Date]])</f>
        <v/>
      </c>
      <c r="V61" s="18" t="str">
        <f>IF(Applications[[#This Row],[Volume of solution applied
(m3)]]="","",Applications[[#This Row],[Volume of solution applied
(m3)]])</f>
        <v/>
      </c>
      <c r="W61" s="18" t="str">
        <v/>
      </c>
      <c r="X61" s="18" t="str">
        <v/>
      </c>
      <c r="Y61" s="18">
        <v>0</v>
      </c>
      <c r="Z61" s="18">
        <v>0</v>
      </c>
    </row>
    <row r="62" spans="2:26" ht="35.1" customHeight="1" thickBot="1">
      <c r="B62" s="54">
        <v>57</v>
      </c>
      <c r="C62" s="32"/>
      <c r="D62" s="33"/>
      <c r="E62" s="104" t="str">
        <f>IF(Applications[[#This Row],[Block ID]]="","",(_xlfn.XLOOKUP(Applications[[#This Row],[Block ID]],Blocks[Block ID],Blocks[Area (ha)],"")))</f>
        <v/>
      </c>
      <c r="F62" s="33"/>
      <c r="G62" s="105" t="str">
        <f t="shared" si="0"/>
        <v/>
      </c>
      <c r="H62" s="33"/>
      <c r="I62" s="33"/>
      <c r="J62" s="33"/>
      <c r="K62" s="77"/>
      <c r="L62" s="33"/>
      <c r="M62" s="33"/>
      <c r="N62" s="23" t="str">
        <f t="shared" si="1"/>
        <v/>
      </c>
      <c r="O62" s="23">
        <f>Applications[[#This Row],[Nitrogen concentration in drain solution
 (ppm or mg/L)]]*Applications[[#This Row],[Volume of solution applied
(m3)]]/1000</f>
        <v>0</v>
      </c>
      <c r="P62" s="33"/>
      <c r="Q62" s="23" t="str">
        <f t="shared" si="2"/>
        <v/>
      </c>
      <c r="R62" s="98">
        <f>Applications[[#This Row],[Phosphorus concentration in drain solution
(ppm or mg/L)]]*Applications[[#This Row],[Volume of solution applied
(m3)]]/1000</f>
        <v>0</v>
      </c>
      <c r="S62" s="65"/>
      <c r="U62" s="99" t="str">
        <f>IF(Applications[[#This Row],[Date]]="","",Applications[[#This Row],[Date]])</f>
        <v/>
      </c>
      <c r="V62" s="18" t="str">
        <f>IF(Applications[[#This Row],[Volume of solution applied
(m3)]]="","",Applications[[#This Row],[Volume of solution applied
(m3)]])</f>
        <v/>
      </c>
      <c r="W62" s="18" t="str">
        <v/>
      </c>
      <c r="X62" s="18" t="str">
        <v/>
      </c>
      <c r="Y62" s="18">
        <v>0</v>
      </c>
      <c r="Z62" s="18">
        <v>0</v>
      </c>
    </row>
    <row r="63" spans="2:26" ht="35.1" customHeight="1" thickBot="1">
      <c r="B63" s="54">
        <v>58</v>
      </c>
      <c r="C63" s="32"/>
      <c r="D63" s="33"/>
      <c r="E63" s="104" t="str">
        <f>IF(Applications[[#This Row],[Block ID]]="","",(_xlfn.XLOOKUP(Applications[[#This Row],[Block ID]],Blocks[Block ID],Blocks[Area (ha)],"")))</f>
        <v/>
      </c>
      <c r="F63" s="33"/>
      <c r="G63" s="105" t="str">
        <f t="shared" si="0"/>
        <v/>
      </c>
      <c r="H63" s="33"/>
      <c r="I63" s="33"/>
      <c r="J63" s="33"/>
      <c r="K63" s="77"/>
      <c r="L63" s="33"/>
      <c r="M63" s="33"/>
      <c r="N63" s="23" t="str">
        <f t="shared" si="1"/>
        <v/>
      </c>
      <c r="O63" s="23">
        <f>Applications[[#This Row],[Nitrogen concentration in drain solution
 (ppm or mg/L)]]*Applications[[#This Row],[Volume of solution applied
(m3)]]/1000</f>
        <v>0</v>
      </c>
      <c r="P63" s="33"/>
      <c r="Q63" s="23" t="str">
        <f t="shared" si="2"/>
        <v/>
      </c>
      <c r="R63" s="98">
        <f>Applications[[#This Row],[Phosphorus concentration in drain solution
(ppm or mg/L)]]*Applications[[#This Row],[Volume of solution applied
(m3)]]/1000</f>
        <v>0</v>
      </c>
      <c r="S63" s="65"/>
      <c r="U63" s="99" t="str">
        <f>IF(Applications[[#This Row],[Date]]="","",Applications[[#This Row],[Date]])</f>
        <v/>
      </c>
      <c r="V63" s="18" t="str">
        <f>IF(Applications[[#This Row],[Volume of solution applied
(m3)]]="","",Applications[[#This Row],[Volume of solution applied
(m3)]])</f>
        <v/>
      </c>
      <c r="W63" s="18" t="str">
        <v/>
      </c>
      <c r="X63" s="18" t="str">
        <v/>
      </c>
      <c r="Y63" s="18">
        <v>0</v>
      </c>
      <c r="Z63" s="18">
        <v>0</v>
      </c>
    </row>
    <row r="64" spans="2:26" ht="35.1" customHeight="1" thickBot="1">
      <c r="B64" s="54">
        <v>59</v>
      </c>
      <c r="C64" s="32"/>
      <c r="D64" s="33"/>
      <c r="E64" s="104" t="str">
        <f>IF(Applications[[#This Row],[Block ID]]="","",(_xlfn.XLOOKUP(Applications[[#This Row],[Block ID]],Blocks[Block ID],Blocks[Area (ha)],"")))</f>
        <v/>
      </c>
      <c r="F64" s="33"/>
      <c r="G64" s="105" t="str">
        <f t="shared" si="0"/>
        <v/>
      </c>
      <c r="H64" s="33"/>
      <c r="I64" s="33"/>
      <c r="J64" s="33"/>
      <c r="K64" s="77"/>
      <c r="L64" s="33"/>
      <c r="M64" s="33"/>
      <c r="N64" s="23" t="str">
        <f t="shared" si="1"/>
        <v/>
      </c>
      <c r="O64" s="23">
        <f>Applications[[#This Row],[Nitrogen concentration in drain solution
 (ppm or mg/L)]]*Applications[[#This Row],[Volume of solution applied
(m3)]]/1000</f>
        <v>0</v>
      </c>
      <c r="P64" s="33"/>
      <c r="Q64" s="23" t="str">
        <f t="shared" si="2"/>
        <v/>
      </c>
      <c r="R64" s="98">
        <f>Applications[[#This Row],[Phosphorus concentration in drain solution
(ppm or mg/L)]]*Applications[[#This Row],[Volume of solution applied
(m3)]]/1000</f>
        <v>0</v>
      </c>
      <c r="S64" s="65"/>
      <c r="U64" s="99" t="str">
        <f>IF(Applications[[#This Row],[Date]]="","",Applications[[#This Row],[Date]])</f>
        <v/>
      </c>
      <c r="V64" s="18" t="str">
        <f>IF(Applications[[#This Row],[Volume of solution applied
(m3)]]="","",Applications[[#This Row],[Volume of solution applied
(m3)]])</f>
        <v/>
      </c>
      <c r="W64" s="18" t="str">
        <v/>
      </c>
      <c r="X64" s="18" t="str">
        <v/>
      </c>
      <c r="Y64" s="18">
        <v>0</v>
      </c>
      <c r="Z64" s="18">
        <v>0</v>
      </c>
    </row>
    <row r="65" spans="2:26" ht="35.1" customHeight="1" thickBot="1">
      <c r="B65" s="54">
        <v>60</v>
      </c>
      <c r="C65" s="32"/>
      <c r="D65" s="33"/>
      <c r="E65" s="104" t="str">
        <f>IF(Applications[[#This Row],[Block ID]]="","",(_xlfn.XLOOKUP(Applications[[#This Row],[Block ID]],Blocks[Block ID],Blocks[Area (ha)],"")))</f>
        <v/>
      </c>
      <c r="F65" s="33"/>
      <c r="G65" s="105" t="str">
        <f t="shared" si="0"/>
        <v/>
      </c>
      <c r="H65" s="33"/>
      <c r="I65" s="33"/>
      <c r="J65" s="33"/>
      <c r="K65" s="77"/>
      <c r="L65" s="33"/>
      <c r="M65" s="33"/>
      <c r="N65" s="23" t="str">
        <f t="shared" si="1"/>
        <v/>
      </c>
      <c r="O65" s="23">
        <f>Applications[[#This Row],[Nitrogen concentration in drain solution
 (ppm or mg/L)]]*Applications[[#This Row],[Volume of solution applied
(m3)]]/1000</f>
        <v>0</v>
      </c>
      <c r="P65" s="33"/>
      <c r="Q65" s="23" t="str">
        <f t="shared" si="2"/>
        <v/>
      </c>
      <c r="R65" s="98">
        <f>Applications[[#This Row],[Phosphorus concentration in drain solution
(ppm or mg/L)]]*Applications[[#This Row],[Volume of solution applied
(m3)]]/1000</f>
        <v>0</v>
      </c>
      <c r="S65" s="65"/>
      <c r="U65" s="99" t="str">
        <f>IF(Applications[[#This Row],[Date]]="","",Applications[[#This Row],[Date]])</f>
        <v/>
      </c>
      <c r="V65" s="18" t="str">
        <f>IF(Applications[[#This Row],[Volume of solution applied
(m3)]]="","",Applications[[#This Row],[Volume of solution applied
(m3)]])</f>
        <v/>
      </c>
      <c r="W65" s="18" t="str">
        <v/>
      </c>
      <c r="X65" s="18" t="str">
        <v/>
      </c>
      <c r="Y65" s="18">
        <v>0</v>
      </c>
      <c r="Z65" s="18">
        <v>0</v>
      </c>
    </row>
    <row r="66" spans="2:26" ht="35.1" customHeight="1" thickBot="1">
      <c r="B66" s="54">
        <v>61</v>
      </c>
      <c r="C66" s="32"/>
      <c r="D66" s="33"/>
      <c r="E66" s="104" t="str">
        <f>IF(Applications[[#This Row],[Block ID]]="","",(_xlfn.XLOOKUP(Applications[[#This Row],[Block ID]],Blocks[Block ID],Blocks[Area (ha)],"")))</f>
        <v/>
      </c>
      <c r="F66" s="33"/>
      <c r="G66" s="105" t="str">
        <f t="shared" si="0"/>
        <v/>
      </c>
      <c r="H66" s="33"/>
      <c r="I66" s="33"/>
      <c r="J66" s="33"/>
      <c r="K66" s="77"/>
      <c r="L66" s="33"/>
      <c r="M66" s="33"/>
      <c r="N66" s="23" t="str">
        <f t="shared" si="1"/>
        <v/>
      </c>
      <c r="O66" s="23">
        <f>Applications[[#This Row],[Nitrogen concentration in drain solution
 (ppm or mg/L)]]*Applications[[#This Row],[Volume of solution applied
(m3)]]/1000</f>
        <v>0</v>
      </c>
      <c r="P66" s="33"/>
      <c r="Q66" s="23" t="str">
        <f t="shared" si="2"/>
        <v/>
      </c>
      <c r="R66" s="98">
        <f>Applications[[#This Row],[Phosphorus concentration in drain solution
(ppm or mg/L)]]*Applications[[#This Row],[Volume of solution applied
(m3)]]/1000</f>
        <v>0</v>
      </c>
      <c r="S66" s="65"/>
      <c r="U66" s="99" t="str">
        <f>IF(Applications[[#This Row],[Date]]="","",Applications[[#This Row],[Date]])</f>
        <v/>
      </c>
      <c r="V66" s="18" t="str">
        <f>IF(Applications[[#This Row],[Volume of solution applied
(m3)]]="","",Applications[[#This Row],[Volume of solution applied
(m3)]])</f>
        <v/>
      </c>
      <c r="W66" s="18" t="str">
        <v/>
      </c>
      <c r="X66" s="18" t="str">
        <v/>
      </c>
      <c r="Y66" s="18">
        <v>0</v>
      </c>
      <c r="Z66" s="18">
        <v>0</v>
      </c>
    </row>
    <row r="67" spans="2:26" ht="35.1" customHeight="1" thickBot="1">
      <c r="B67" s="54">
        <v>62</v>
      </c>
      <c r="C67" s="32"/>
      <c r="D67" s="33"/>
      <c r="E67" s="104" t="str">
        <f>IF(Applications[[#This Row],[Block ID]]="","",(_xlfn.XLOOKUP(Applications[[#This Row],[Block ID]],Blocks[Block ID],Blocks[Area (ha)],"")))</f>
        <v/>
      </c>
      <c r="F67" s="33"/>
      <c r="G67" s="105" t="str">
        <f t="shared" si="0"/>
        <v/>
      </c>
      <c r="H67" s="33"/>
      <c r="I67" s="33"/>
      <c r="J67" s="33"/>
      <c r="K67" s="77"/>
      <c r="L67" s="33"/>
      <c r="M67" s="33"/>
      <c r="N67" s="23" t="str">
        <f t="shared" si="1"/>
        <v/>
      </c>
      <c r="O67" s="23">
        <f>Applications[[#This Row],[Nitrogen concentration in drain solution
 (ppm or mg/L)]]*Applications[[#This Row],[Volume of solution applied
(m3)]]/1000</f>
        <v>0</v>
      </c>
      <c r="P67" s="33"/>
      <c r="Q67" s="23" t="str">
        <f t="shared" si="2"/>
        <v/>
      </c>
      <c r="R67" s="98">
        <f>Applications[[#This Row],[Phosphorus concentration in drain solution
(ppm or mg/L)]]*Applications[[#This Row],[Volume of solution applied
(m3)]]/1000</f>
        <v>0</v>
      </c>
      <c r="S67" s="65"/>
      <c r="U67" s="99" t="str">
        <f>IF(Applications[[#This Row],[Date]]="","",Applications[[#This Row],[Date]])</f>
        <v/>
      </c>
      <c r="V67" s="18" t="str">
        <f>IF(Applications[[#This Row],[Volume of solution applied
(m3)]]="","",Applications[[#This Row],[Volume of solution applied
(m3)]])</f>
        <v/>
      </c>
      <c r="W67" s="18" t="str">
        <v/>
      </c>
      <c r="X67" s="18" t="str">
        <v/>
      </c>
      <c r="Y67" s="18">
        <v>0</v>
      </c>
      <c r="Z67" s="18">
        <v>0</v>
      </c>
    </row>
    <row r="68" spans="2:26" ht="35.1" customHeight="1" thickBot="1">
      <c r="B68" s="54">
        <v>63</v>
      </c>
      <c r="C68" s="32"/>
      <c r="D68" s="33"/>
      <c r="E68" s="104" t="str">
        <f>IF(Applications[[#This Row],[Block ID]]="","",(_xlfn.XLOOKUP(Applications[[#This Row],[Block ID]],Blocks[Block ID],Blocks[Area (ha)],"")))</f>
        <v/>
      </c>
      <c r="F68" s="33"/>
      <c r="G68" s="105" t="str">
        <f t="shared" si="0"/>
        <v/>
      </c>
      <c r="H68" s="33"/>
      <c r="I68" s="33"/>
      <c r="J68" s="33"/>
      <c r="K68" s="77"/>
      <c r="L68" s="33"/>
      <c r="M68" s="33"/>
      <c r="N68" s="23" t="str">
        <f t="shared" si="1"/>
        <v/>
      </c>
      <c r="O68" s="23">
        <f>Applications[[#This Row],[Nitrogen concentration in drain solution
 (ppm or mg/L)]]*Applications[[#This Row],[Volume of solution applied
(m3)]]/1000</f>
        <v>0</v>
      </c>
      <c r="P68" s="33"/>
      <c r="Q68" s="23" t="str">
        <f t="shared" si="2"/>
        <v/>
      </c>
      <c r="R68" s="98">
        <f>Applications[[#This Row],[Phosphorus concentration in drain solution
(ppm or mg/L)]]*Applications[[#This Row],[Volume of solution applied
(m3)]]/1000</f>
        <v>0</v>
      </c>
      <c r="S68" s="65"/>
      <c r="U68" s="99" t="str">
        <f>IF(Applications[[#This Row],[Date]]="","",Applications[[#This Row],[Date]])</f>
        <v/>
      </c>
      <c r="V68" s="18" t="str">
        <f>IF(Applications[[#This Row],[Volume of solution applied
(m3)]]="","",Applications[[#This Row],[Volume of solution applied
(m3)]])</f>
        <v/>
      </c>
      <c r="W68" s="18" t="str">
        <v/>
      </c>
      <c r="X68" s="18" t="str">
        <v/>
      </c>
      <c r="Y68" s="18">
        <v>0</v>
      </c>
      <c r="Z68" s="18">
        <v>0</v>
      </c>
    </row>
    <row r="69" spans="2:26" ht="35.1" customHeight="1" thickBot="1">
      <c r="B69" s="54">
        <v>64</v>
      </c>
      <c r="C69" s="32"/>
      <c r="D69" s="33"/>
      <c r="E69" s="104" t="str">
        <f>IF(Applications[[#This Row],[Block ID]]="","",(_xlfn.XLOOKUP(Applications[[#This Row],[Block ID]],Blocks[Block ID],Blocks[Area (ha)],"")))</f>
        <v/>
      </c>
      <c r="F69" s="33"/>
      <c r="G69" s="105" t="str">
        <f t="shared" si="0"/>
        <v/>
      </c>
      <c r="H69" s="33"/>
      <c r="I69" s="33"/>
      <c r="J69" s="33"/>
      <c r="K69" s="77"/>
      <c r="L69" s="33"/>
      <c r="M69" s="33"/>
      <c r="N69" s="23" t="str">
        <f t="shared" si="1"/>
        <v/>
      </c>
      <c r="O69" s="23">
        <f>Applications[[#This Row],[Nitrogen concentration in drain solution
 (ppm or mg/L)]]*Applications[[#This Row],[Volume of solution applied
(m3)]]/1000</f>
        <v>0</v>
      </c>
      <c r="P69" s="33"/>
      <c r="Q69" s="23" t="str">
        <f t="shared" si="2"/>
        <v/>
      </c>
      <c r="R69" s="98">
        <f>Applications[[#This Row],[Phosphorus concentration in drain solution
(ppm or mg/L)]]*Applications[[#This Row],[Volume of solution applied
(m3)]]/1000</f>
        <v>0</v>
      </c>
      <c r="S69" s="65"/>
      <c r="U69" s="99" t="str">
        <f>IF(Applications[[#This Row],[Date]]="","",Applications[[#This Row],[Date]])</f>
        <v/>
      </c>
      <c r="V69" s="18" t="str">
        <f>IF(Applications[[#This Row],[Volume of solution applied
(m3)]]="","",Applications[[#This Row],[Volume of solution applied
(m3)]])</f>
        <v/>
      </c>
      <c r="W69" s="18" t="str">
        <v/>
      </c>
      <c r="X69" s="18" t="str">
        <v/>
      </c>
      <c r="Y69" s="18">
        <v>0</v>
      </c>
      <c r="Z69" s="18">
        <v>0</v>
      </c>
    </row>
    <row r="70" spans="2:26" ht="35.1" customHeight="1" thickBot="1">
      <c r="B70" s="54">
        <v>65</v>
      </c>
      <c r="C70" s="32"/>
      <c r="D70" s="33"/>
      <c r="E70" s="104" t="str">
        <f>IF(Applications[[#This Row],[Block ID]]="","",(_xlfn.XLOOKUP(Applications[[#This Row],[Block ID]],Blocks[Block ID],Blocks[Area (ha)],"")))</f>
        <v/>
      </c>
      <c r="F70" s="33"/>
      <c r="G70" s="105" t="str">
        <f t="shared" ref="G70:G133" si="3">IFERROR((IF(F70="","",((F70*1000)/(E70*10000)))),"")</f>
        <v/>
      </c>
      <c r="H70" s="33"/>
      <c r="I70" s="33"/>
      <c r="J70" s="33"/>
      <c r="K70" s="77"/>
      <c r="L70" s="33"/>
      <c r="M70" s="33"/>
      <c r="N70" s="23" t="str">
        <f t="shared" ref="N70:N133" si="4">IFERROR((L70*M70/1000/E70),"")</f>
        <v/>
      </c>
      <c r="O70" s="23">
        <f>Applications[[#This Row],[Nitrogen concentration in drain solution
 (ppm or mg/L)]]*Applications[[#This Row],[Volume of solution applied
(m3)]]/1000</f>
        <v>0</v>
      </c>
      <c r="P70" s="33"/>
      <c r="Q70" s="23" t="str">
        <f t="shared" ref="Q70:Q133" si="5">IFERROR((L70*P70/1000/E70),"")</f>
        <v/>
      </c>
      <c r="R70" s="98">
        <f>Applications[[#This Row],[Phosphorus concentration in drain solution
(ppm or mg/L)]]*Applications[[#This Row],[Volume of solution applied
(m3)]]/1000</f>
        <v>0</v>
      </c>
      <c r="S70" s="65"/>
      <c r="U70" s="99" t="str">
        <f>IF(Applications[[#This Row],[Date]]="","",Applications[[#This Row],[Date]])</f>
        <v/>
      </c>
      <c r="V70" s="18" t="str">
        <f>IF(Applications[[#This Row],[Volume of solution applied
(m3)]]="","",Applications[[#This Row],[Volume of solution applied
(m3)]])</f>
        <v/>
      </c>
      <c r="W70" s="18" t="str">
        <v/>
      </c>
      <c r="X70" s="18" t="str">
        <v/>
      </c>
      <c r="Y70" s="18">
        <v>0</v>
      </c>
      <c r="Z70" s="18">
        <v>0</v>
      </c>
    </row>
    <row r="71" spans="2:26" ht="35.1" customHeight="1" thickBot="1">
      <c r="B71" s="54">
        <v>66</v>
      </c>
      <c r="C71" s="32"/>
      <c r="D71" s="33"/>
      <c r="E71" s="104" t="str">
        <f>IF(Applications[[#This Row],[Block ID]]="","",(_xlfn.XLOOKUP(Applications[[#This Row],[Block ID]],Blocks[Block ID],Blocks[Area (ha)],"")))</f>
        <v/>
      </c>
      <c r="F71" s="33"/>
      <c r="G71" s="105" t="str">
        <f t="shared" si="3"/>
        <v/>
      </c>
      <c r="H71" s="33"/>
      <c r="I71" s="33"/>
      <c r="J71" s="33"/>
      <c r="K71" s="77"/>
      <c r="L71" s="33"/>
      <c r="M71" s="33"/>
      <c r="N71" s="23" t="str">
        <f t="shared" si="4"/>
        <v/>
      </c>
      <c r="O71" s="23">
        <f>Applications[[#This Row],[Nitrogen concentration in drain solution
 (ppm or mg/L)]]*Applications[[#This Row],[Volume of solution applied
(m3)]]/1000</f>
        <v>0</v>
      </c>
      <c r="P71" s="33"/>
      <c r="Q71" s="23" t="str">
        <f t="shared" si="5"/>
        <v/>
      </c>
      <c r="R71" s="98">
        <f>Applications[[#This Row],[Phosphorus concentration in drain solution
(ppm or mg/L)]]*Applications[[#This Row],[Volume of solution applied
(m3)]]/1000</f>
        <v>0</v>
      </c>
      <c r="S71" s="65"/>
      <c r="U71" s="99" t="str">
        <f>IF(Applications[[#This Row],[Date]]="","",Applications[[#This Row],[Date]])</f>
        <v/>
      </c>
      <c r="V71" s="18" t="str">
        <f>IF(Applications[[#This Row],[Volume of solution applied
(m3)]]="","",Applications[[#This Row],[Volume of solution applied
(m3)]])</f>
        <v/>
      </c>
      <c r="W71" s="18" t="str">
        <v/>
      </c>
      <c r="X71" s="18" t="str">
        <v/>
      </c>
      <c r="Y71" s="18">
        <v>0</v>
      </c>
      <c r="Z71" s="18">
        <v>0</v>
      </c>
    </row>
    <row r="72" spans="2:26" ht="35.1" customHeight="1" thickBot="1">
      <c r="B72" s="54">
        <v>67</v>
      </c>
      <c r="C72" s="32"/>
      <c r="D72" s="33"/>
      <c r="E72" s="104" t="str">
        <f>IF(Applications[[#This Row],[Block ID]]="","",(_xlfn.XLOOKUP(Applications[[#This Row],[Block ID]],Blocks[Block ID],Blocks[Area (ha)],"")))</f>
        <v/>
      </c>
      <c r="F72" s="33"/>
      <c r="G72" s="105" t="str">
        <f t="shared" si="3"/>
        <v/>
      </c>
      <c r="H72" s="33"/>
      <c r="I72" s="33"/>
      <c r="J72" s="33"/>
      <c r="K72" s="77"/>
      <c r="L72" s="33"/>
      <c r="M72" s="33"/>
      <c r="N72" s="23" t="str">
        <f t="shared" si="4"/>
        <v/>
      </c>
      <c r="O72" s="23">
        <f>Applications[[#This Row],[Nitrogen concentration in drain solution
 (ppm or mg/L)]]*Applications[[#This Row],[Volume of solution applied
(m3)]]/1000</f>
        <v>0</v>
      </c>
      <c r="P72" s="33"/>
      <c r="Q72" s="23" t="str">
        <f t="shared" si="5"/>
        <v/>
      </c>
      <c r="R72" s="98">
        <f>Applications[[#This Row],[Phosphorus concentration in drain solution
(ppm or mg/L)]]*Applications[[#This Row],[Volume of solution applied
(m3)]]/1000</f>
        <v>0</v>
      </c>
      <c r="S72" s="65"/>
      <c r="U72" s="99" t="str">
        <f>IF(Applications[[#This Row],[Date]]="","",Applications[[#This Row],[Date]])</f>
        <v/>
      </c>
      <c r="V72" s="18" t="str">
        <f>IF(Applications[[#This Row],[Volume of solution applied
(m3)]]="","",Applications[[#This Row],[Volume of solution applied
(m3)]])</f>
        <v/>
      </c>
      <c r="W72" s="18" t="str">
        <v/>
      </c>
      <c r="X72" s="18" t="str">
        <v/>
      </c>
      <c r="Y72" s="18">
        <v>0</v>
      </c>
      <c r="Z72" s="18">
        <v>0</v>
      </c>
    </row>
    <row r="73" spans="2:26" ht="35.1" customHeight="1" thickBot="1">
      <c r="B73" s="54">
        <v>68</v>
      </c>
      <c r="C73" s="32"/>
      <c r="D73" s="33"/>
      <c r="E73" s="104" t="str">
        <f>IF(Applications[[#This Row],[Block ID]]="","",(_xlfn.XLOOKUP(Applications[[#This Row],[Block ID]],Blocks[Block ID],Blocks[Area (ha)],"")))</f>
        <v/>
      </c>
      <c r="F73" s="33"/>
      <c r="G73" s="105" t="str">
        <f t="shared" si="3"/>
        <v/>
      </c>
      <c r="H73" s="33"/>
      <c r="I73" s="33"/>
      <c r="J73" s="33"/>
      <c r="K73" s="77"/>
      <c r="L73" s="33"/>
      <c r="M73" s="33"/>
      <c r="N73" s="23" t="str">
        <f t="shared" si="4"/>
        <v/>
      </c>
      <c r="O73" s="23">
        <f>Applications[[#This Row],[Nitrogen concentration in drain solution
 (ppm or mg/L)]]*Applications[[#This Row],[Volume of solution applied
(m3)]]/1000</f>
        <v>0</v>
      </c>
      <c r="P73" s="33"/>
      <c r="Q73" s="23" t="str">
        <f t="shared" si="5"/>
        <v/>
      </c>
      <c r="R73" s="98">
        <f>Applications[[#This Row],[Phosphorus concentration in drain solution
(ppm or mg/L)]]*Applications[[#This Row],[Volume of solution applied
(m3)]]/1000</f>
        <v>0</v>
      </c>
      <c r="S73" s="65"/>
      <c r="U73" s="99" t="str">
        <f>IF(Applications[[#This Row],[Date]]="","",Applications[[#This Row],[Date]])</f>
        <v/>
      </c>
      <c r="V73" s="18" t="str">
        <f>IF(Applications[[#This Row],[Volume of solution applied
(m3)]]="","",Applications[[#This Row],[Volume of solution applied
(m3)]])</f>
        <v/>
      </c>
      <c r="W73" s="18" t="str">
        <v/>
      </c>
      <c r="X73" s="18" t="str">
        <v/>
      </c>
      <c r="Y73" s="18">
        <v>0</v>
      </c>
      <c r="Z73" s="18">
        <v>0</v>
      </c>
    </row>
    <row r="74" spans="2:26" ht="35.1" customHeight="1" thickBot="1">
      <c r="B74" s="54">
        <v>69</v>
      </c>
      <c r="C74" s="32"/>
      <c r="D74" s="33"/>
      <c r="E74" s="104" t="str">
        <f>IF(Applications[[#This Row],[Block ID]]="","",(_xlfn.XLOOKUP(Applications[[#This Row],[Block ID]],Blocks[Block ID],Blocks[Area (ha)],"")))</f>
        <v/>
      </c>
      <c r="F74" s="33"/>
      <c r="G74" s="105" t="str">
        <f t="shared" si="3"/>
        <v/>
      </c>
      <c r="H74" s="33"/>
      <c r="I74" s="33"/>
      <c r="J74" s="33"/>
      <c r="K74" s="77"/>
      <c r="L74" s="33"/>
      <c r="M74" s="33"/>
      <c r="N74" s="23" t="str">
        <f t="shared" si="4"/>
        <v/>
      </c>
      <c r="O74" s="23">
        <f>Applications[[#This Row],[Nitrogen concentration in drain solution
 (ppm or mg/L)]]*Applications[[#This Row],[Volume of solution applied
(m3)]]/1000</f>
        <v>0</v>
      </c>
      <c r="P74" s="33"/>
      <c r="Q74" s="23" t="str">
        <f t="shared" si="5"/>
        <v/>
      </c>
      <c r="R74" s="98">
        <f>Applications[[#This Row],[Phosphorus concentration in drain solution
(ppm or mg/L)]]*Applications[[#This Row],[Volume of solution applied
(m3)]]/1000</f>
        <v>0</v>
      </c>
      <c r="S74" s="65"/>
      <c r="U74" s="99" t="str">
        <f>IF(Applications[[#This Row],[Date]]="","",Applications[[#This Row],[Date]])</f>
        <v/>
      </c>
      <c r="V74" s="18" t="str">
        <f>IF(Applications[[#This Row],[Volume of solution applied
(m3)]]="","",Applications[[#This Row],[Volume of solution applied
(m3)]])</f>
        <v/>
      </c>
      <c r="W74" s="18" t="str">
        <v/>
      </c>
      <c r="X74" s="18" t="str">
        <v/>
      </c>
      <c r="Y74" s="18">
        <v>0</v>
      </c>
      <c r="Z74" s="18">
        <v>0</v>
      </c>
    </row>
    <row r="75" spans="2:26" ht="35.1" customHeight="1" thickBot="1">
      <c r="B75" s="54">
        <v>70</v>
      </c>
      <c r="C75" s="32"/>
      <c r="D75" s="33"/>
      <c r="E75" s="104" t="str">
        <f>IF(Applications[[#This Row],[Block ID]]="","",(_xlfn.XLOOKUP(Applications[[#This Row],[Block ID]],Blocks[Block ID],Blocks[Area (ha)],"")))</f>
        <v/>
      </c>
      <c r="F75" s="33"/>
      <c r="G75" s="105" t="str">
        <f t="shared" si="3"/>
        <v/>
      </c>
      <c r="H75" s="33"/>
      <c r="I75" s="33"/>
      <c r="J75" s="33"/>
      <c r="K75" s="77"/>
      <c r="L75" s="33"/>
      <c r="M75" s="33"/>
      <c r="N75" s="23" t="str">
        <f t="shared" si="4"/>
        <v/>
      </c>
      <c r="O75" s="23">
        <f>Applications[[#This Row],[Nitrogen concentration in drain solution
 (ppm or mg/L)]]*Applications[[#This Row],[Volume of solution applied
(m3)]]/1000</f>
        <v>0</v>
      </c>
      <c r="P75" s="33"/>
      <c r="Q75" s="23" t="str">
        <f t="shared" si="5"/>
        <v/>
      </c>
      <c r="R75" s="98">
        <f>Applications[[#This Row],[Phosphorus concentration in drain solution
(ppm or mg/L)]]*Applications[[#This Row],[Volume of solution applied
(m3)]]/1000</f>
        <v>0</v>
      </c>
      <c r="S75" s="65"/>
      <c r="U75" s="99" t="str">
        <f>IF(Applications[[#This Row],[Date]]="","",Applications[[#This Row],[Date]])</f>
        <v/>
      </c>
      <c r="V75" s="18" t="str">
        <f>IF(Applications[[#This Row],[Volume of solution applied
(m3)]]="","",Applications[[#This Row],[Volume of solution applied
(m3)]])</f>
        <v/>
      </c>
      <c r="W75" s="18" t="str">
        <v/>
      </c>
      <c r="X75" s="18" t="str">
        <v/>
      </c>
      <c r="Y75" s="18">
        <v>0</v>
      </c>
      <c r="Z75" s="18">
        <v>0</v>
      </c>
    </row>
    <row r="76" spans="2:26" ht="35.1" customHeight="1" thickBot="1">
      <c r="B76" s="54">
        <v>71</v>
      </c>
      <c r="C76" s="32"/>
      <c r="D76" s="33"/>
      <c r="E76" s="104" t="str">
        <f>IF(Applications[[#This Row],[Block ID]]="","",(_xlfn.XLOOKUP(Applications[[#This Row],[Block ID]],Blocks[Block ID],Blocks[Area (ha)],"")))</f>
        <v/>
      </c>
      <c r="F76" s="33"/>
      <c r="G76" s="105" t="str">
        <f t="shared" si="3"/>
        <v/>
      </c>
      <c r="H76" s="33"/>
      <c r="I76" s="33"/>
      <c r="J76" s="33"/>
      <c r="K76" s="77"/>
      <c r="L76" s="33"/>
      <c r="M76" s="33"/>
      <c r="N76" s="23" t="str">
        <f t="shared" si="4"/>
        <v/>
      </c>
      <c r="O76" s="23">
        <f>Applications[[#This Row],[Nitrogen concentration in drain solution
 (ppm or mg/L)]]*Applications[[#This Row],[Volume of solution applied
(m3)]]/1000</f>
        <v>0</v>
      </c>
      <c r="P76" s="33"/>
      <c r="Q76" s="23" t="str">
        <f t="shared" si="5"/>
        <v/>
      </c>
      <c r="R76" s="98">
        <f>Applications[[#This Row],[Phosphorus concentration in drain solution
(ppm or mg/L)]]*Applications[[#This Row],[Volume of solution applied
(m3)]]/1000</f>
        <v>0</v>
      </c>
      <c r="S76" s="65"/>
      <c r="U76" s="99" t="str">
        <f>IF(Applications[[#This Row],[Date]]="","",Applications[[#This Row],[Date]])</f>
        <v/>
      </c>
      <c r="V76" s="18" t="str">
        <f>IF(Applications[[#This Row],[Volume of solution applied
(m3)]]="","",Applications[[#This Row],[Volume of solution applied
(m3)]])</f>
        <v/>
      </c>
      <c r="W76" s="18" t="str">
        <v/>
      </c>
      <c r="X76" s="18" t="str">
        <v/>
      </c>
      <c r="Y76" s="18">
        <v>0</v>
      </c>
      <c r="Z76" s="18">
        <v>0</v>
      </c>
    </row>
    <row r="77" spans="2:26" ht="35.1" customHeight="1" thickBot="1">
      <c r="B77" s="54">
        <v>72</v>
      </c>
      <c r="C77" s="32"/>
      <c r="D77" s="33"/>
      <c r="E77" s="104" t="str">
        <f>IF(Applications[[#This Row],[Block ID]]="","",(_xlfn.XLOOKUP(Applications[[#This Row],[Block ID]],Blocks[Block ID],Blocks[Area (ha)],"")))</f>
        <v/>
      </c>
      <c r="F77" s="33"/>
      <c r="G77" s="105" t="str">
        <f t="shared" si="3"/>
        <v/>
      </c>
      <c r="H77" s="33"/>
      <c r="I77" s="33"/>
      <c r="J77" s="33"/>
      <c r="K77" s="77"/>
      <c r="L77" s="33"/>
      <c r="M77" s="33"/>
      <c r="N77" s="23" t="str">
        <f t="shared" si="4"/>
        <v/>
      </c>
      <c r="O77" s="23">
        <f>Applications[[#This Row],[Nitrogen concentration in drain solution
 (ppm or mg/L)]]*Applications[[#This Row],[Volume of solution applied
(m3)]]/1000</f>
        <v>0</v>
      </c>
      <c r="P77" s="33"/>
      <c r="Q77" s="23" t="str">
        <f t="shared" si="5"/>
        <v/>
      </c>
      <c r="R77" s="98">
        <f>Applications[[#This Row],[Phosphorus concentration in drain solution
(ppm or mg/L)]]*Applications[[#This Row],[Volume of solution applied
(m3)]]/1000</f>
        <v>0</v>
      </c>
      <c r="S77" s="65"/>
      <c r="U77" s="99" t="str">
        <f>IF(Applications[[#This Row],[Date]]="","",Applications[[#This Row],[Date]])</f>
        <v/>
      </c>
      <c r="V77" s="18" t="str">
        <f>IF(Applications[[#This Row],[Volume of solution applied
(m3)]]="","",Applications[[#This Row],[Volume of solution applied
(m3)]])</f>
        <v/>
      </c>
      <c r="W77" s="18" t="str">
        <v/>
      </c>
      <c r="X77" s="18" t="str">
        <v/>
      </c>
      <c r="Y77" s="18">
        <v>0</v>
      </c>
      <c r="Z77" s="18">
        <v>0</v>
      </c>
    </row>
    <row r="78" spans="2:26" ht="35.1" customHeight="1" thickBot="1">
      <c r="B78" s="54">
        <v>73</v>
      </c>
      <c r="C78" s="32"/>
      <c r="D78" s="33"/>
      <c r="E78" s="104" t="str">
        <f>IF(Applications[[#This Row],[Block ID]]="","",(_xlfn.XLOOKUP(Applications[[#This Row],[Block ID]],Blocks[Block ID],Blocks[Area (ha)],"")))</f>
        <v/>
      </c>
      <c r="F78" s="33"/>
      <c r="G78" s="105" t="str">
        <f t="shared" si="3"/>
        <v/>
      </c>
      <c r="H78" s="33"/>
      <c r="I78" s="33"/>
      <c r="J78" s="33"/>
      <c r="K78" s="77"/>
      <c r="L78" s="33"/>
      <c r="M78" s="33"/>
      <c r="N78" s="23" t="str">
        <f t="shared" si="4"/>
        <v/>
      </c>
      <c r="O78" s="23">
        <f>Applications[[#This Row],[Nitrogen concentration in drain solution
 (ppm or mg/L)]]*Applications[[#This Row],[Volume of solution applied
(m3)]]/1000</f>
        <v>0</v>
      </c>
      <c r="P78" s="33"/>
      <c r="Q78" s="23" t="str">
        <f t="shared" si="5"/>
        <v/>
      </c>
      <c r="R78" s="98">
        <f>Applications[[#This Row],[Phosphorus concentration in drain solution
(ppm or mg/L)]]*Applications[[#This Row],[Volume of solution applied
(m3)]]/1000</f>
        <v>0</v>
      </c>
      <c r="S78" s="65"/>
      <c r="U78" s="99" t="str">
        <f>IF(Applications[[#This Row],[Date]]="","",Applications[[#This Row],[Date]])</f>
        <v/>
      </c>
      <c r="V78" s="18" t="str">
        <f>IF(Applications[[#This Row],[Volume of solution applied
(m3)]]="","",Applications[[#This Row],[Volume of solution applied
(m3)]])</f>
        <v/>
      </c>
      <c r="W78" s="18" t="str">
        <v/>
      </c>
      <c r="X78" s="18" t="str">
        <v/>
      </c>
      <c r="Y78" s="18">
        <v>0</v>
      </c>
      <c r="Z78" s="18">
        <v>0</v>
      </c>
    </row>
    <row r="79" spans="2:26" ht="35.1" customHeight="1" thickBot="1">
      <c r="B79" s="54">
        <v>74</v>
      </c>
      <c r="C79" s="32"/>
      <c r="D79" s="33"/>
      <c r="E79" s="104" t="str">
        <f>IF(Applications[[#This Row],[Block ID]]="","",(_xlfn.XLOOKUP(Applications[[#This Row],[Block ID]],Blocks[Block ID],Blocks[Area (ha)],"")))</f>
        <v/>
      </c>
      <c r="F79" s="33"/>
      <c r="G79" s="105" t="str">
        <f t="shared" si="3"/>
        <v/>
      </c>
      <c r="H79" s="33"/>
      <c r="I79" s="33"/>
      <c r="J79" s="33"/>
      <c r="K79" s="77"/>
      <c r="L79" s="33"/>
      <c r="M79" s="33"/>
      <c r="N79" s="23" t="str">
        <f t="shared" si="4"/>
        <v/>
      </c>
      <c r="O79" s="23">
        <f>Applications[[#This Row],[Nitrogen concentration in drain solution
 (ppm or mg/L)]]*Applications[[#This Row],[Volume of solution applied
(m3)]]/1000</f>
        <v>0</v>
      </c>
      <c r="P79" s="33"/>
      <c r="Q79" s="23" t="str">
        <f t="shared" si="5"/>
        <v/>
      </c>
      <c r="R79" s="98">
        <f>Applications[[#This Row],[Phosphorus concentration in drain solution
(ppm or mg/L)]]*Applications[[#This Row],[Volume of solution applied
(m3)]]/1000</f>
        <v>0</v>
      </c>
      <c r="S79" s="65"/>
      <c r="U79" s="99" t="str">
        <f>IF(Applications[[#This Row],[Date]]="","",Applications[[#This Row],[Date]])</f>
        <v/>
      </c>
      <c r="V79" s="18" t="str">
        <f>IF(Applications[[#This Row],[Volume of solution applied
(m3)]]="","",Applications[[#This Row],[Volume of solution applied
(m3)]])</f>
        <v/>
      </c>
      <c r="W79" s="18" t="str">
        <v/>
      </c>
      <c r="X79" s="18" t="str">
        <v/>
      </c>
      <c r="Y79" s="18">
        <v>0</v>
      </c>
      <c r="Z79" s="18">
        <v>0</v>
      </c>
    </row>
    <row r="80" spans="2:26" ht="35.1" customHeight="1" thickBot="1">
      <c r="B80" s="54">
        <v>75</v>
      </c>
      <c r="C80" s="32"/>
      <c r="D80" s="33"/>
      <c r="E80" s="104" t="str">
        <f>IF(Applications[[#This Row],[Block ID]]="","",(_xlfn.XLOOKUP(Applications[[#This Row],[Block ID]],Blocks[Block ID],Blocks[Area (ha)],"")))</f>
        <v/>
      </c>
      <c r="F80" s="33"/>
      <c r="G80" s="105" t="str">
        <f t="shared" si="3"/>
        <v/>
      </c>
      <c r="H80" s="33"/>
      <c r="I80" s="33"/>
      <c r="J80" s="33"/>
      <c r="K80" s="77"/>
      <c r="L80" s="33"/>
      <c r="M80" s="33"/>
      <c r="N80" s="23" t="str">
        <f t="shared" si="4"/>
        <v/>
      </c>
      <c r="O80" s="23">
        <f>Applications[[#This Row],[Nitrogen concentration in drain solution
 (ppm or mg/L)]]*Applications[[#This Row],[Volume of solution applied
(m3)]]/1000</f>
        <v>0</v>
      </c>
      <c r="P80" s="33"/>
      <c r="Q80" s="23" t="str">
        <f t="shared" si="5"/>
        <v/>
      </c>
      <c r="R80" s="98">
        <f>Applications[[#This Row],[Phosphorus concentration in drain solution
(ppm or mg/L)]]*Applications[[#This Row],[Volume of solution applied
(m3)]]/1000</f>
        <v>0</v>
      </c>
      <c r="S80" s="65"/>
      <c r="U80" s="99" t="str">
        <f>IF(Applications[[#This Row],[Date]]="","",Applications[[#This Row],[Date]])</f>
        <v/>
      </c>
      <c r="V80" s="18" t="str">
        <f>IF(Applications[[#This Row],[Volume of solution applied
(m3)]]="","",Applications[[#This Row],[Volume of solution applied
(m3)]])</f>
        <v/>
      </c>
      <c r="W80" s="18" t="str">
        <v/>
      </c>
      <c r="X80" s="18" t="str">
        <v/>
      </c>
      <c r="Y80" s="18">
        <v>0</v>
      </c>
      <c r="Z80" s="18">
        <v>0</v>
      </c>
    </row>
    <row r="81" spans="2:26" ht="35.1" customHeight="1" thickBot="1">
      <c r="B81" s="54">
        <v>76</v>
      </c>
      <c r="C81" s="32"/>
      <c r="D81" s="33"/>
      <c r="E81" s="104" t="str">
        <f>IF(Applications[[#This Row],[Block ID]]="","",(_xlfn.XLOOKUP(Applications[[#This Row],[Block ID]],Blocks[Block ID],Blocks[Area (ha)],"")))</f>
        <v/>
      </c>
      <c r="F81" s="33"/>
      <c r="G81" s="105" t="str">
        <f t="shared" si="3"/>
        <v/>
      </c>
      <c r="H81" s="33"/>
      <c r="I81" s="33"/>
      <c r="J81" s="33"/>
      <c r="K81" s="77"/>
      <c r="L81" s="33"/>
      <c r="M81" s="33"/>
      <c r="N81" s="23" t="str">
        <f t="shared" si="4"/>
        <v/>
      </c>
      <c r="O81" s="23">
        <f>Applications[[#This Row],[Nitrogen concentration in drain solution
 (ppm or mg/L)]]*Applications[[#This Row],[Volume of solution applied
(m3)]]/1000</f>
        <v>0</v>
      </c>
      <c r="P81" s="33"/>
      <c r="Q81" s="23" t="str">
        <f t="shared" si="5"/>
        <v/>
      </c>
      <c r="R81" s="98">
        <f>Applications[[#This Row],[Phosphorus concentration in drain solution
(ppm or mg/L)]]*Applications[[#This Row],[Volume of solution applied
(m3)]]/1000</f>
        <v>0</v>
      </c>
      <c r="S81" s="65"/>
      <c r="U81" s="99" t="str">
        <f>IF(Applications[[#This Row],[Date]]="","",Applications[[#This Row],[Date]])</f>
        <v/>
      </c>
      <c r="V81" s="18" t="str">
        <f>IF(Applications[[#This Row],[Volume of solution applied
(m3)]]="","",Applications[[#This Row],[Volume of solution applied
(m3)]])</f>
        <v/>
      </c>
      <c r="W81" s="18" t="str">
        <v/>
      </c>
      <c r="X81" s="18" t="str">
        <v/>
      </c>
      <c r="Y81" s="18">
        <v>0</v>
      </c>
      <c r="Z81" s="18">
        <v>0</v>
      </c>
    </row>
    <row r="82" spans="2:26" ht="35.1" customHeight="1" thickBot="1">
      <c r="B82" s="54">
        <v>77</v>
      </c>
      <c r="C82" s="32"/>
      <c r="D82" s="33"/>
      <c r="E82" s="104" t="str">
        <f>IF(Applications[[#This Row],[Block ID]]="","",(_xlfn.XLOOKUP(Applications[[#This Row],[Block ID]],Blocks[Block ID],Blocks[Area (ha)],"")))</f>
        <v/>
      </c>
      <c r="F82" s="33"/>
      <c r="G82" s="105" t="str">
        <f t="shared" si="3"/>
        <v/>
      </c>
      <c r="H82" s="33"/>
      <c r="I82" s="33"/>
      <c r="J82" s="33"/>
      <c r="K82" s="77"/>
      <c r="L82" s="33"/>
      <c r="M82" s="33"/>
      <c r="N82" s="23" t="str">
        <f t="shared" si="4"/>
        <v/>
      </c>
      <c r="O82" s="23">
        <f>Applications[[#This Row],[Nitrogen concentration in drain solution
 (ppm or mg/L)]]*Applications[[#This Row],[Volume of solution applied
(m3)]]/1000</f>
        <v>0</v>
      </c>
      <c r="P82" s="33"/>
      <c r="Q82" s="23" t="str">
        <f t="shared" si="5"/>
        <v/>
      </c>
      <c r="R82" s="98">
        <f>Applications[[#This Row],[Phosphorus concentration in drain solution
(ppm or mg/L)]]*Applications[[#This Row],[Volume of solution applied
(m3)]]/1000</f>
        <v>0</v>
      </c>
      <c r="S82" s="65"/>
      <c r="U82" s="99" t="str">
        <f>IF(Applications[[#This Row],[Date]]="","",Applications[[#This Row],[Date]])</f>
        <v/>
      </c>
      <c r="V82" s="18" t="str">
        <f>IF(Applications[[#This Row],[Volume of solution applied
(m3)]]="","",Applications[[#This Row],[Volume of solution applied
(m3)]])</f>
        <v/>
      </c>
      <c r="W82" s="18" t="str">
        <v/>
      </c>
      <c r="X82" s="18" t="str">
        <v/>
      </c>
      <c r="Y82" s="18">
        <v>0</v>
      </c>
      <c r="Z82" s="18">
        <v>0</v>
      </c>
    </row>
    <row r="83" spans="2:26" ht="35.1" customHeight="1" thickBot="1">
      <c r="B83" s="54">
        <v>78</v>
      </c>
      <c r="C83" s="32"/>
      <c r="D83" s="33"/>
      <c r="E83" s="104" t="str">
        <f>IF(Applications[[#This Row],[Block ID]]="","",(_xlfn.XLOOKUP(Applications[[#This Row],[Block ID]],Blocks[Block ID],Blocks[Area (ha)],"")))</f>
        <v/>
      </c>
      <c r="F83" s="33"/>
      <c r="G83" s="105" t="str">
        <f t="shared" si="3"/>
        <v/>
      </c>
      <c r="H83" s="33"/>
      <c r="I83" s="33"/>
      <c r="J83" s="33"/>
      <c r="K83" s="77"/>
      <c r="L83" s="33"/>
      <c r="M83" s="33"/>
      <c r="N83" s="23" t="str">
        <f t="shared" si="4"/>
        <v/>
      </c>
      <c r="O83" s="23">
        <f>Applications[[#This Row],[Nitrogen concentration in drain solution
 (ppm or mg/L)]]*Applications[[#This Row],[Volume of solution applied
(m3)]]/1000</f>
        <v>0</v>
      </c>
      <c r="P83" s="33"/>
      <c r="Q83" s="23" t="str">
        <f t="shared" si="5"/>
        <v/>
      </c>
      <c r="R83" s="98">
        <f>Applications[[#This Row],[Phosphorus concentration in drain solution
(ppm or mg/L)]]*Applications[[#This Row],[Volume of solution applied
(m3)]]/1000</f>
        <v>0</v>
      </c>
      <c r="S83" s="65"/>
      <c r="U83" s="99" t="str">
        <f>IF(Applications[[#This Row],[Date]]="","",Applications[[#This Row],[Date]])</f>
        <v/>
      </c>
      <c r="V83" s="18" t="str">
        <f>IF(Applications[[#This Row],[Volume of solution applied
(m3)]]="","",Applications[[#This Row],[Volume of solution applied
(m3)]])</f>
        <v/>
      </c>
      <c r="W83" s="18" t="str">
        <v/>
      </c>
      <c r="X83" s="18" t="str">
        <v/>
      </c>
      <c r="Y83" s="18">
        <v>0</v>
      </c>
      <c r="Z83" s="18">
        <v>0</v>
      </c>
    </row>
    <row r="84" spans="2:26" ht="35.1" customHeight="1" thickBot="1">
      <c r="B84" s="54">
        <v>79</v>
      </c>
      <c r="C84" s="32"/>
      <c r="D84" s="33"/>
      <c r="E84" s="104" t="str">
        <f>IF(Applications[[#This Row],[Block ID]]="","",(_xlfn.XLOOKUP(Applications[[#This Row],[Block ID]],Blocks[Block ID],Blocks[Area (ha)],"")))</f>
        <v/>
      </c>
      <c r="F84" s="33"/>
      <c r="G84" s="105" t="str">
        <f t="shared" si="3"/>
        <v/>
      </c>
      <c r="H84" s="33"/>
      <c r="I84" s="33"/>
      <c r="J84" s="33"/>
      <c r="K84" s="77"/>
      <c r="L84" s="33"/>
      <c r="M84" s="33"/>
      <c r="N84" s="23" t="str">
        <f t="shared" si="4"/>
        <v/>
      </c>
      <c r="O84" s="23">
        <f>Applications[[#This Row],[Nitrogen concentration in drain solution
 (ppm or mg/L)]]*Applications[[#This Row],[Volume of solution applied
(m3)]]/1000</f>
        <v>0</v>
      </c>
      <c r="P84" s="33"/>
      <c r="Q84" s="23" t="str">
        <f t="shared" si="5"/>
        <v/>
      </c>
      <c r="R84" s="98">
        <f>Applications[[#This Row],[Phosphorus concentration in drain solution
(ppm or mg/L)]]*Applications[[#This Row],[Volume of solution applied
(m3)]]/1000</f>
        <v>0</v>
      </c>
      <c r="S84" s="65"/>
      <c r="U84" s="99" t="str">
        <f>IF(Applications[[#This Row],[Date]]="","",Applications[[#This Row],[Date]])</f>
        <v/>
      </c>
      <c r="V84" s="18" t="str">
        <f>IF(Applications[[#This Row],[Volume of solution applied
(m3)]]="","",Applications[[#This Row],[Volume of solution applied
(m3)]])</f>
        <v/>
      </c>
      <c r="W84" s="18" t="str">
        <v/>
      </c>
      <c r="X84" s="18" t="str">
        <v/>
      </c>
      <c r="Y84" s="18">
        <v>0</v>
      </c>
      <c r="Z84" s="18">
        <v>0</v>
      </c>
    </row>
    <row r="85" spans="2:26" ht="35.1" customHeight="1" thickBot="1">
      <c r="B85" s="54">
        <v>80</v>
      </c>
      <c r="C85" s="32"/>
      <c r="D85" s="33"/>
      <c r="E85" s="104" t="str">
        <f>IF(Applications[[#This Row],[Block ID]]="","",(_xlfn.XLOOKUP(Applications[[#This Row],[Block ID]],Blocks[Block ID],Blocks[Area (ha)],"")))</f>
        <v/>
      </c>
      <c r="F85" s="33"/>
      <c r="G85" s="105" t="str">
        <f t="shared" si="3"/>
        <v/>
      </c>
      <c r="H85" s="33"/>
      <c r="I85" s="33"/>
      <c r="J85" s="33"/>
      <c r="K85" s="77"/>
      <c r="L85" s="33"/>
      <c r="M85" s="33"/>
      <c r="N85" s="23" t="str">
        <f t="shared" si="4"/>
        <v/>
      </c>
      <c r="O85" s="23">
        <f>Applications[[#This Row],[Nitrogen concentration in drain solution
 (ppm or mg/L)]]*Applications[[#This Row],[Volume of solution applied
(m3)]]/1000</f>
        <v>0</v>
      </c>
      <c r="P85" s="33"/>
      <c r="Q85" s="23" t="str">
        <f t="shared" si="5"/>
        <v/>
      </c>
      <c r="R85" s="98">
        <f>Applications[[#This Row],[Phosphorus concentration in drain solution
(ppm or mg/L)]]*Applications[[#This Row],[Volume of solution applied
(m3)]]/1000</f>
        <v>0</v>
      </c>
      <c r="S85" s="65"/>
      <c r="U85" s="99" t="str">
        <f>IF(Applications[[#This Row],[Date]]="","",Applications[[#This Row],[Date]])</f>
        <v/>
      </c>
      <c r="V85" s="18" t="str">
        <f>IF(Applications[[#This Row],[Volume of solution applied
(m3)]]="","",Applications[[#This Row],[Volume of solution applied
(m3)]])</f>
        <v/>
      </c>
      <c r="W85" s="18" t="str">
        <v/>
      </c>
      <c r="X85" s="18" t="str">
        <v/>
      </c>
      <c r="Y85" s="18">
        <v>0</v>
      </c>
      <c r="Z85" s="18">
        <v>0</v>
      </c>
    </row>
    <row r="86" spans="2:26" ht="35.1" customHeight="1" thickBot="1">
      <c r="B86" s="54">
        <v>81</v>
      </c>
      <c r="C86" s="32"/>
      <c r="D86" s="33"/>
      <c r="E86" s="104" t="str">
        <f>IF(Applications[[#This Row],[Block ID]]="","",(_xlfn.XLOOKUP(Applications[[#This Row],[Block ID]],Blocks[Block ID],Blocks[Area (ha)],"")))</f>
        <v/>
      </c>
      <c r="F86" s="33"/>
      <c r="G86" s="105" t="str">
        <f t="shared" si="3"/>
        <v/>
      </c>
      <c r="H86" s="33"/>
      <c r="I86" s="33"/>
      <c r="J86" s="33"/>
      <c r="K86" s="77"/>
      <c r="L86" s="33"/>
      <c r="M86" s="33"/>
      <c r="N86" s="23" t="str">
        <f t="shared" si="4"/>
        <v/>
      </c>
      <c r="O86" s="23">
        <f>Applications[[#This Row],[Nitrogen concentration in drain solution
 (ppm or mg/L)]]*Applications[[#This Row],[Volume of solution applied
(m3)]]/1000</f>
        <v>0</v>
      </c>
      <c r="P86" s="33"/>
      <c r="Q86" s="23" t="str">
        <f t="shared" si="5"/>
        <v/>
      </c>
      <c r="R86" s="98">
        <f>Applications[[#This Row],[Phosphorus concentration in drain solution
(ppm or mg/L)]]*Applications[[#This Row],[Volume of solution applied
(m3)]]/1000</f>
        <v>0</v>
      </c>
      <c r="S86" s="65"/>
      <c r="U86" s="99" t="str">
        <f>IF(Applications[[#This Row],[Date]]="","",Applications[[#This Row],[Date]])</f>
        <v/>
      </c>
      <c r="V86" s="18" t="str">
        <f>IF(Applications[[#This Row],[Volume of solution applied
(m3)]]="","",Applications[[#This Row],[Volume of solution applied
(m3)]])</f>
        <v/>
      </c>
      <c r="W86" s="18" t="str">
        <v/>
      </c>
      <c r="X86" s="18" t="str">
        <v/>
      </c>
      <c r="Y86" s="18">
        <v>0</v>
      </c>
      <c r="Z86" s="18">
        <v>0</v>
      </c>
    </row>
    <row r="87" spans="2:26" ht="35.1" customHeight="1" thickBot="1">
      <c r="B87" s="54">
        <v>82</v>
      </c>
      <c r="C87" s="32"/>
      <c r="D87" s="33"/>
      <c r="E87" s="104" t="str">
        <f>IF(Applications[[#This Row],[Block ID]]="","",(_xlfn.XLOOKUP(Applications[[#This Row],[Block ID]],Blocks[Block ID],Blocks[Area (ha)],"")))</f>
        <v/>
      </c>
      <c r="F87" s="33"/>
      <c r="G87" s="105" t="str">
        <f t="shared" si="3"/>
        <v/>
      </c>
      <c r="H87" s="33"/>
      <c r="I87" s="33"/>
      <c r="J87" s="33"/>
      <c r="K87" s="77"/>
      <c r="L87" s="33"/>
      <c r="M87" s="33"/>
      <c r="N87" s="23" t="str">
        <f t="shared" si="4"/>
        <v/>
      </c>
      <c r="O87" s="23">
        <f>Applications[[#This Row],[Nitrogen concentration in drain solution
 (ppm or mg/L)]]*Applications[[#This Row],[Volume of solution applied
(m3)]]/1000</f>
        <v>0</v>
      </c>
      <c r="P87" s="33"/>
      <c r="Q87" s="23" t="str">
        <f t="shared" si="5"/>
        <v/>
      </c>
      <c r="R87" s="98">
        <f>Applications[[#This Row],[Phosphorus concentration in drain solution
(ppm or mg/L)]]*Applications[[#This Row],[Volume of solution applied
(m3)]]/1000</f>
        <v>0</v>
      </c>
      <c r="S87" s="65"/>
      <c r="U87" s="99" t="str">
        <f>IF(Applications[[#This Row],[Date]]="","",Applications[[#This Row],[Date]])</f>
        <v/>
      </c>
      <c r="V87" s="18" t="str">
        <f>IF(Applications[[#This Row],[Volume of solution applied
(m3)]]="","",Applications[[#This Row],[Volume of solution applied
(m3)]])</f>
        <v/>
      </c>
      <c r="W87" s="18" t="str">
        <v/>
      </c>
      <c r="X87" s="18" t="str">
        <v/>
      </c>
      <c r="Y87" s="18">
        <v>0</v>
      </c>
      <c r="Z87" s="18">
        <v>0</v>
      </c>
    </row>
    <row r="88" spans="2:26" ht="35.1" customHeight="1" thickBot="1">
      <c r="B88" s="54">
        <v>83</v>
      </c>
      <c r="C88" s="32"/>
      <c r="D88" s="33"/>
      <c r="E88" s="104" t="str">
        <f>IF(Applications[[#This Row],[Block ID]]="","",(_xlfn.XLOOKUP(Applications[[#This Row],[Block ID]],Blocks[Block ID],Blocks[Area (ha)],"")))</f>
        <v/>
      </c>
      <c r="F88" s="33"/>
      <c r="G88" s="105" t="str">
        <f t="shared" si="3"/>
        <v/>
      </c>
      <c r="H88" s="33"/>
      <c r="I88" s="33"/>
      <c r="J88" s="33"/>
      <c r="K88" s="77"/>
      <c r="L88" s="33"/>
      <c r="M88" s="33"/>
      <c r="N88" s="23" t="str">
        <f t="shared" si="4"/>
        <v/>
      </c>
      <c r="O88" s="23">
        <f>Applications[[#This Row],[Nitrogen concentration in drain solution
 (ppm or mg/L)]]*Applications[[#This Row],[Volume of solution applied
(m3)]]/1000</f>
        <v>0</v>
      </c>
      <c r="P88" s="33"/>
      <c r="Q88" s="23" t="str">
        <f t="shared" si="5"/>
        <v/>
      </c>
      <c r="R88" s="98">
        <f>Applications[[#This Row],[Phosphorus concentration in drain solution
(ppm or mg/L)]]*Applications[[#This Row],[Volume of solution applied
(m3)]]/1000</f>
        <v>0</v>
      </c>
      <c r="S88" s="65"/>
      <c r="U88" s="99" t="str">
        <f>IF(Applications[[#This Row],[Date]]="","",Applications[[#This Row],[Date]])</f>
        <v/>
      </c>
      <c r="V88" s="18" t="str">
        <f>IF(Applications[[#This Row],[Volume of solution applied
(m3)]]="","",Applications[[#This Row],[Volume of solution applied
(m3)]])</f>
        <v/>
      </c>
      <c r="W88" s="18" t="str">
        <v/>
      </c>
      <c r="X88" s="18" t="str">
        <v/>
      </c>
      <c r="Y88" s="18">
        <v>0</v>
      </c>
      <c r="Z88" s="18">
        <v>0</v>
      </c>
    </row>
    <row r="89" spans="2:26" ht="35.1" customHeight="1" thickBot="1">
      <c r="B89" s="54">
        <v>84</v>
      </c>
      <c r="C89" s="32"/>
      <c r="D89" s="33"/>
      <c r="E89" s="104" t="str">
        <f>IF(Applications[[#This Row],[Block ID]]="","",(_xlfn.XLOOKUP(Applications[[#This Row],[Block ID]],Blocks[Block ID],Blocks[Area (ha)],"")))</f>
        <v/>
      </c>
      <c r="F89" s="33"/>
      <c r="G89" s="105" t="str">
        <f t="shared" si="3"/>
        <v/>
      </c>
      <c r="H89" s="33"/>
      <c r="I89" s="33"/>
      <c r="J89" s="33"/>
      <c r="K89" s="77"/>
      <c r="L89" s="33"/>
      <c r="M89" s="33"/>
      <c r="N89" s="23" t="str">
        <f t="shared" si="4"/>
        <v/>
      </c>
      <c r="O89" s="23">
        <f>Applications[[#This Row],[Nitrogen concentration in drain solution
 (ppm or mg/L)]]*Applications[[#This Row],[Volume of solution applied
(m3)]]/1000</f>
        <v>0</v>
      </c>
      <c r="P89" s="33"/>
      <c r="Q89" s="23" t="str">
        <f t="shared" si="5"/>
        <v/>
      </c>
      <c r="R89" s="98">
        <f>Applications[[#This Row],[Phosphorus concentration in drain solution
(ppm or mg/L)]]*Applications[[#This Row],[Volume of solution applied
(m3)]]/1000</f>
        <v>0</v>
      </c>
      <c r="S89" s="65"/>
      <c r="U89" s="99" t="str">
        <f>IF(Applications[[#This Row],[Date]]="","",Applications[[#This Row],[Date]])</f>
        <v/>
      </c>
      <c r="V89" s="18" t="str">
        <f>IF(Applications[[#This Row],[Volume of solution applied
(m3)]]="","",Applications[[#This Row],[Volume of solution applied
(m3)]])</f>
        <v/>
      </c>
      <c r="W89" s="18" t="str">
        <v/>
      </c>
      <c r="X89" s="18" t="str">
        <v/>
      </c>
      <c r="Y89" s="18">
        <v>0</v>
      </c>
      <c r="Z89" s="18">
        <v>0</v>
      </c>
    </row>
    <row r="90" spans="2:26" ht="35.1" customHeight="1" thickBot="1">
      <c r="B90" s="54">
        <v>85</v>
      </c>
      <c r="C90" s="32"/>
      <c r="D90" s="33"/>
      <c r="E90" s="104" t="str">
        <f>IF(Applications[[#This Row],[Block ID]]="","",(_xlfn.XLOOKUP(Applications[[#This Row],[Block ID]],Blocks[Block ID],Blocks[Area (ha)],"")))</f>
        <v/>
      </c>
      <c r="F90" s="33"/>
      <c r="G90" s="105" t="str">
        <f t="shared" si="3"/>
        <v/>
      </c>
      <c r="H90" s="33"/>
      <c r="I90" s="33"/>
      <c r="J90" s="33"/>
      <c r="K90" s="77"/>
      <c r="L90" s="33"/>
      <c r="M90" s="33"/>
      <c r="N90" s="23" t="str">
        <f t="shared" si="4"/>
        <v/>
      </c>
      <c r="O90" s="23">
        <f>Applications[[#This Row],[Nitrogen concentration in drain solution
 (ppm or mg/L)]]*Applications[[#This Row],[Volume of solution applied
(m3)]]/1000</f>
        <v>0</v>
      </c>
      <c r="P90" s="33"/>
      <c r="Q90" s="23" t="str">
        <f t="shared" si="5"/>
        <v/>
      </c>
      <c r="R90" s="98">
        <f>Applications[[#This Row],[Phosphorus concentration in drain solution
(ppm or mg/L)]]*Applications[[#This Row],[Volume of solution applied
(m3)]]/1000</f>
        <v>0</v>
      </c>
      <c r="S90" s="65"/>
      <c r="U90" s="99" t="str">
        <f>IF(Applications[[#This Row],[Date]]="","",Applications[[#This Row],[Date]])</f>
        <v/>
      </c>
      <c r="V90" s="18" t="str">
        <f>IF(Applications[[#This Row],[Volume of solution applied
(m3)]]="","",Applications[[#This Row],[Volume of solution applied
(m3)]])</f>
        <v/>
      </c>
      <c r="W90" s="18" t="str">
        <v/>
      </c>
      <c r="X90" s="18" t="str">
        <v/>
      </c>
      <c r="Y90" s="18">
        <v>0</v>
      </c>
      <c r="Z90" s="18">
        <v>0</v>
      </c>
    </row>
    <row r="91" spans="2:26" ht="35.1" customHeight="1" thickBot="1">
      <c r="B91" s="54">
        <v>86</v>
      </c>
      <c r="C91" s="32"/>
      <c r="D91" s="33"/>
      <c r="E91" s="104" t="str">
        <f>IF(Applications[[#This Row],[Block ID]]="","",(_xlfn.XLOOKUP(Applications[[#This Row],[Block ID]],Blocks[Block ID],Blocks[Area (ha)],"")))</f>
        <v/>
      </c>
      <c r="F91" s="33"/>
      <c r="G91" s="105" t="str">
        <f t="shared" si="3"/>
        <v/>
      </c>
      <c r="H91" s="33"/>
      <c r="I91" s="33"/>
      <c r="J91" s="33"/>
      <c r="K91" s="77"/>
      <c r="L91" s="33"/>
      <c r="M91" s="33"/>
      <c r="N91" s="23" t="str">
        <f t="shared" si="4"/>
        <v/>
      </c>
      <c r="O91" s="23">
        <f>Applications[[#This Row],[Nitrogen concentration in drain solution
 (ppm or mg/L)]]*Applications[[#This Row],[Volume of solution applied
(m3)]]/1000</f>
        <v>0</v>
      </c>
      <c r="P91" s="33"/>
      <c r="Q91" s="23" t="str">
        <f t="shared" si="5"/>
        <v/>
      </c>
      <c r="R91" s="98">
        <f>Applications[[#This Row],[Phosphorus concentration in drain solution
(ppm or mg/L)]]*Applications[[#This Row],[Volume of solution applied
(m3)]]/1000</f>
        <v>0</v>
      </c>
      <c r="S91" s="65"/>
      <c r="U91" s="99" t="str">
        <f>IF(Applications[[#This Row],[Date]]="","",Applications[[#This Row],[Date]])</f>
        <v/>
      </c>
      <c r="V91" s="18" t="str">
        <f>IF(Applications[[#This Row],[Volume of solution applied
(m3)]]="","",Applications[[#This Row],[Volume of solution applied
(m3)]])</f>
        <v/>
      </c>
      <c r="W91" s="18" t="str">
        <v/>
      </c>
      <c r="X91" s="18" t="str">
        <v/>
      </c>
      <c r="Y91" s="18">
        <v>0</v>
      </c>
      <c r="Z91" s="18">
        <v>0</v>
      </c>
    </row>
    <row r="92" spans="2:26" ht="35.1" customHeight="1" thickBot="1">
      <c r="B92" s="54">
        <v>87</v>
      </c>
      <c r="C92" s="32"/>
      <c r="D92" s="33"/>
      <c r="E92" s="104" t="str">
        <f>IF(Applications[[#This Row],[Block ID]]="","",(_xlfn.XLOOKUP(Applications[[#This Row],[Block ID]],Blocks[Block ID],Blocks[Area (ha)],"")))</f>
        <v/>
      </c>
      <c r="F92" s="33"/>
      <c r="G92" s="105" t="str">
        <f t="shared" si="3"/>
        <v/>
      </c>
      <c r="H92" s="33"/>
      <c r="I92" s="33"/>
      <c r="J92" s="33"/>
      <c r="K92" s="77"/>
      <c r="L92" s="33"/>
      <c r="M92" s="33"/>
      <c r="N92" s="23" t="str">
        <f t="shared" si="4"/>
        <v/>
      </c>
      <c r="O92" s="23">
        <f>Applications[[#This Row],[Nitrogen concentration in drain solution
 (ppm or mg/L)]]*Applications[[#This Row],[Volume of solution applied
(m3)]]/1000</f>
        <v>0</v>
      </c>
      <c r="P92" s="33"/>
      <c r="Q92" s="23" t="str">
        <f t="shared" si="5"/>
        <v/>
      </c>
      <c r="R92" s="98">
        <f>Applications[[#This Row],[Phosphorus concentration in drain solution
(ppm or mg/L)]]*Applications[[#This Row],[Volume of solution applied
(m3)]]/1000</f>
        <v>0</v>
      </c>
      <c r="S92" s="65"/>
      <c r="U92" s="99" t="str">
        <f>IF(Applications[[#This Row],[Date]]="","",Applications[[#This Row],[Date]])</f>
        <v/>
      </c>
      <c r="V92" s="18" t="str">
        <f>IF(Applications[[#This Row],[Volume of solution applied
(m3)]]="","",Applications[[#This Row],[Volume of solution applied
(m3)]])</f>
        <v/>
      </c>
      <c r="W92" s="18" t="str">
        <v/>
      </c>
      <c r="X92" s="18" t="str">
        <v/>
      </c>
      <c r="Y92" s="18">
        <v>0</v>
      </c>
      <c r="Z92" s="18">
        <v>0</v>
      </c>
    </row>
    <row r="93" spans="2:26" ht="35.1" customHeight="1" thickBot="1">
      <c r="B93" s="54">
        <v>88</v>
      </c>
      <c r="C93" s="32"/>
      <c r="D93" s="33"/>
      <c r="E93" s="104" t="str">
        <f>IF(Applications[[#This Row],[Block ID]]="","",(_xlfn.XLOOKUP(Applications[[#This Row],[Block ID]],Blocks[Block ID],Blocks[Area (ha)],"")))</f>
        <v/>
      </c>
      <c r="F93" s="33"/>
      <c r="G93" s="105" t="str">
        <f t="shared" si="3"/>
        <v/>
      </c>
      <c r="H93" s="33"/>
      <c r="I93" s="33"/>
      <c r="J93" s="33"/>
      <c r="K93" s="77"/>
      <c r="L93" s="33"/>
      <c r="M93" s="33"/>
      <c r="N93" s="23" t="str">
        <f t="shared" si="4"/>
        <v/>
      </c>
      <c r="O93" s="23">
        <f>Applications[[#This Row],[Nitrogen concentration in drain solution
 (ppm or mg/L)]]*Applications[[#This Row],[Volume of solution applied
(m3)]]/1000</f>
        <v>0</v>
      </c>
      <c r="P93" s="33"/>
      <c r="Q93" s="23" t="str">
        <f t="shared" si="5"/>
        <v/>
      </c>
      <c r="R93" s="98">
        <f>Applications[[#This Row],[Phosphorus concentration in drain solution
(ppm or mg/L)]]*Applications[[#This Row],[Volume of solution applied
(m3)]]/1000</f>
        <v>0</v>
      </c>
      <c r="S93" s="65"/>
      <c r="U93" s="99" t="str">
        <f>IF(Applications[[#This Row],[Date]]="","",Applications[[#This Row],[Date]])</f>
        <v/>
      </c>
      <c r="V93" s="18" t="str">
        <f>IF(Applications[[#This Row],[Volume of solution applied
(m3)]]="","",Applications[[#This Row],[Volume of solution applied
(m3)]])</f>
        <v/>
      </c>
      <c r="W93" s="18" t="str">
        <v/>
      </c>
      <c r="X93" s="18" t="str">
        <v/>
      </c>
      <c r="Y93" s="18">
        <v>0</v>
      </c>
      <c r="Z93" s="18">
        <v>0</v>
      </c>
    </row>
    <row r="94" spans="2:26" ht="35.1" customHeight="1" thickBot="1">
      <c r="B94" s="54">
        <v>89</v>
      </c>
      <c r="C94" s="32"/>
      <c r="D94" s="33"/>
      <c r="E94" s="104" t="str">
        <f>IF(Applications[[#This Row],[Block ID]]="","",(_xlfn.XLOOKUP(Applications[[#This Row],[Block ID]],Blocks[Block ID],Blocks[Area (ha)],"")))</f>
        <v/>
      </c>
      <c r="F94" s="33"/>
      <c r="G94" s="105" t="str">
        <f t="shared" si="3"/>
        <v/>
      </c>
      <c r="H94" s="33"/>
      <c r="I94" s="33"/>
      <c r="J94" s="33"/>
      <c r="K94" s="77"/>
      <c r="L94" s="33"/>
      <c r="M94" s="33"/>
      <c r="N94" s="23" t="str">
        <f t="shared" si="4"/>
        <v/>
      </c>
      <c r="O94" s="23">
        <f>Applications[[#This Row],[Nitrogen concentration in drain solution
 (ppm or mg/L)]]*Applications[[#This Row],[Volume of solution applied
(m3)]]/1000</f>
        <v>0</v>
      </c>
      <c r="P94" s="33"/>
      <c r="Q94" s="23" t="str">
        <f t="shared" si="5"/>
        <v/>
      </c>
      <c r="R94" s="98">
        <f>Applications[[#This Row],[Phosphorus concentration in drain solution
(ppm or mg/L)]]*Applications[[#This Row],[Volume of solution applied
(m3)]]/1000</f>
        <v>0</v>
      </c>
      <c r="S94" s="65"/>
      <c r="U94" s="99" t="str">
        <f>IF(Applications[[#This Row],[Date]]="","",Applications[[#This Row],[Date]])</f>
        <v/>
      </c>
      <c r="V94" s="18" t="str">
        <f>IF(Applications[[#This Row],[Volume of solution applied
(m3)]]="","",Applications[[#This Row],[Volume of solution applied
(m3)]])</f>
        <v/>
      </c>
      <c r="W94" s="18" t="str">
        <v/>
      </c>
      <c r="X94" s="18" t="str">
        <v/>
      </c>
      <c r="Y94" s="18">
        <v>0</v>
      </c>
      <c r="Z94" s="18">
        <v>0</v>
      </c>
    </row>
    <row r="95" spans="2:26" ht="35.1" customHeight="1" thickBot="1">
      <c r="B95" s="54">
        <v>90</v>
      </c>
      <c r="C95" s="32"/>
      <c r="D95" s="33"/>
      <c r="E95" s="104" t="str">
        <f>IF(Applications[[#This Row],[Block ID]]="","",(_xlfn.XLOOKUP(Applications[[#This Row],[Block ID]],Blocks[Block ID],Blocks[Area (ha)],"")))</f>
        <v/>
      </c>
      <c r="F95" s="33"/>
      <c r="G95" s="105" t="str">
        <f t="shared" si="3"/>
        <v/>
      </c>
      <c r="H95" s="33"/>
      <c r="I95" s="33"/>
      <c r="J95" s="33"/>
      <c r="K95" s="77"/>
      <c r="L95" s="33"/>
      <c r="M95" s="33"/>
      <c r="N95" s="23" t="str">
        <f t="shared" si="4"/>
        <v/>
      </c>
      <c r="O95" s="23">
        <f>Applications[[#This Row],[Nitrogen concentration in drain solution
 (ppm or mg/L)]]*Applications[[#This Row],[Volume of solution applied
(m3)]]/1000</f>
        <v>0</v>
      </c>
      <c r="P95" s="33"/>
      <c r="Q95" s="23" t="str">
        <f t="shared" si="5"/>
        <v/>
      </c>
      <c r="R95" s="98">
        <f>Applications[[#This Row],[Phosphorus concentration in drain solution
(ppm or mg/L)]]*Applications[[#This Row],[Volume of solution applied
(m3)]]/1000</f>
        <v>0</v>
      </c>
      <c r="S95" s="65"/>
      <c r="U95" s="99" t="str">
        <f>IF(Applications[[#This Row],[Date]]="","",Applications[[#This Row],[Date]])</f>
        <v/>
      </c>
      <c r="V95" s="18" t="str">
        <f>IF(Applications[[#This Row],[Volume of solution applied
(m3)]]="","",Applications[[#This Row],[Volume of solution applied
(m3)]])</f>
        <v/>
      </c>
      <c r="W95" s="18" t="str">
        <v/>
      </c>
      <c r="X95" s="18" t="str">
        <v/>
      </c>
      <c r="Y95" s="18">
        <v>0</v>
      </c>
      <c r="Z95" s="18">
        <v>0</v>
      </c>
    </row>
    <row r="96" spans="2:26" ht="35.1" customHeight="1" thickBot="1">
      <c r="B96" s="54">
        <v>91</v>
      </c>
      <c r="C96" s="32"/>
      <c r="D96" s="33"/>
      <c r="E96" s="104" t="str">
        <f>IF(Applications[[#This Row],[Block ID]]="","",(_xlfn.XLOOKUP(Applications[[#This Row],[Block ID]],Blocks[Block ID],Blocks[Area (ha)],"")))</f>
        <v/>
      </c>
      <c r="F96" s="33"/>
      <c r="G96" s="105" t="str">
        <f t="shared" si="3"/>
        <v/>
      </c>
      <c r="H96" s="33"/>
      <c r="I96" s="33"/>
      <c r="J96" s="33"/>
      <c r="K96" s="77"/>
      <c r="L96" s="33"/>
      <c r="M96" s="33"/>
      <c r="N96" s="23" t="str">
        <f t="shared" si="4"/>
        <v/>
      </c>
      <c r="O96" s="23">
        <f>Applications[[#This Row],[Nitrogen concentration in drain solution
 (ppm or mg/L)]]*Applications[[#This Row],[Volume of solution applied
(m3)]]/1000</f>
        <v>0</v>
      </c>
      <c r="P96" s="33"/>
      <c r="Q96" s="23" t="str">
        <f t="shared" si="5"/>
        <v/>
      </c>
      <c r="R96" s="98">
        <f>Applications[[#This Row],[Phosphorus concentration in drain solution
(ppm or mg/L)]]*Applications[[#This Row],[Volume of solution applied
(m3)]]/1000</f>
        <v>0</v>
      </c>
      <c r="S96" s="65"/>
      <c r="U96" s="99" t="str">
        <f>IF(Applications[[#This Row],[Date]]="","",Applications[[#This Row],[Date]])</f>
        <v/>
      </c>
      <c r="V96" s="18" t="str">
        <f>IF(Applications[[#This Row],[Volume of solution applied
(m3)]]="","",Applications[[#This Row],[Volume of solution applied
(m3)]])</f>
        <v/>
      </c>
      <c r="W96" s="18" t="str">
        <v/>
      </c>
      <c r="X96" s="18" t="str">
        <v/>
      </c>
      <c r="Y96" s="18">
        <v>0</v>
      </c>
      <c r="Z96" s="18">
        <v>0</v>
      </c>
    </row>
    <row r="97" spans="2:26" ht="35.1" customHeight="1" thickBot="1">
      <c r="B97" s="54">
        <v>92</v>
      </c>
      <c r="C97" s="32"/>
      <c r="D97" s="33"/>
      <c r="E97" s="104" t="str">
        <f>IF(Applications[[#This Row],[Block ID]]="","",(_xlfn.XLOOKUP(Applications[[#This Row],[Block ID]],Blocks[Block ID],Blocks[Area (ha)],"")))</f>
        <v/>
      </c>
      <c r="F97" s="33"/>
      <c r="G97" s="105" t="str">
        <f t="shared" si="3"/>
        <v/>
      </c>
      <c r="H97" s="33"/>
      <c r="I97" s="33"/>
      <c r="J97" s="33"/>
      <c r="K97" s="77"/>
      <c r="L97" s="33"/>
      <c r="M97" s="33"/>
      <c r="N97" s="23" t="str">
        <f t="shared" si="4"/>
        <v/>
      </c>
      <c r="O97" s="23">
        <f>Applications[[#This Row],[Nitrogen concentration in drain solution
 (ppm or mg/L)]]*Applications[[#This Row],[Volume of solution applied
(m3)]]/1000</f>
        <v>0</v>
      </c>
      <c r="P97" s="33"/>
      <c r="Q97" s="23" t="str">
        <f t="shared" si="5"/>
        <v/>
      </c>
      <c r="R97" s="98">
        <f>Applications[[#This Row],[Phosphorus concentration in drain solution
(ppm or mg/L)]]*Applications[[#This Row],[Volume of solution applied
(m3)]]/1000</f>
        <v>0</v>
      </c>
      <c r="S97" s="65"/>
      <c r="U97" s="99" t="str">
        <f>IF(Applications[[#This Row],[Date]]="","",Applications[[#This Row],[Date]])</f>
        <v/>
      </c>
      <c r="V97" s="18" t="str">
        <f>IF(Applications[[#This Row],[Volume of solution applied
(m3)]]="","",Applications[[#This Row],[Volume of solution applied
(m3)]])</f>
        <v/>
      </c>
      <c r="W97" s="18" t="str">
        <v/>
      </c>
      <c r="X97" s="18" t="str">
        <v/>
      </c>
      <c r="Y97" s="18">
        <v>0</v>
      </c>
      <c r="Z97" s="18">
        <v>0</v>
      </c>
    </row>
    <row r="98" spans="2:26" ht="35.1" customHeight="1" thickBot="1">
      <c r="B98" s="54">
        <v>93</v>
      </c>
      <c r="C98" s="32"/>
      <c r="D98" s="33"/>
      <c r="E98" s="104" t="str">
        <f>IF(Applications[[#This Row],[Block ID]]="","",(_xlfn.XLOOKUP(Applications[[#This Row],[Block ID]],Blocks[Block ID],Blocks[Area (ha)],"")))</f>
        <v/>
      </c>
      <c r="F98" s="33"/>
      <c r="G98" s="105" t="str">
        <f t="shared" si="3"/>
        <v/>
      </c>
      <c r="H98" s="33"/>
      <c r="I98" s="33"/>
      <c r="J98" s="33"/>
      <c r="K98" s="77"/>
      <c r="L98" s="33"/>
      <c r="M98" s="33"/>
      <c r="N98" s="23" t="str">
        <f t="shared" si="4"/>
        <v/>
      </c>
      <c r="O98" s="23">
        <f>Applications[[#This Row],[Nitrogen concentration in drain solution
 (ppm or mg/L)]]*Applications[[#This Row],[Volume of solution applied
(m3)]]/1000</f>
        <v>0</v>
      </c>
      <c r="P98" s="33"/>
      <c r="Q98" s="23" t="str">
        <f t="shared" si="5"/>
        <v/>
      </c>
      <c r="R98" s="98">
        <f>Applications[[#This Row],[Phosphorus concentration in drain solution
(ppm or mg/L)]]*Applications[[#This Row],[Volume of solution applied
(m3)]]/1000</f>
        <v>0</v>
      </c>
      <c r="S98" s="65"/>
      <c r="U98" s="99" t="str">
        <f>IF(Applications[[#This Row],[Date]]="","",Applications[[#This Row],[Date]])</f>
        <v/>
      </c>
      <c r="V98" s="18" t="str">
        <f>IF(Applications[[#This Row],[Volume of solution applied
(m3)]]="","",Applications[[#This Row],[Volume of solution applied
(m3)]])</f>
        <v/>
      </c>
      <c r="W98" s="18" t="str">
        <v/>
      </c>
      <c r="X98" s="18" t="str">
        <v/>
      </c>
      <c r="Y98" s="18">
        <v>0</v>
      </c>
      <c r="Z98" s="18">
        <v>0</v>
      </c>
    </row>
    <row r="99" spans="2:26" ht="35.1" customHeight="1" thickBot="1">
      <c r="B99" s="54">
        <v>94</v>
      </c>
      <c r="C99" s="32"/>
      <c r="D99" s="33"/>
      <c r="E99" s="104" t="str">
        <f>IF(Applications[[#This Row],[Block ID]]="","",(_xlfn.XLOOKUP(Applications[[#This Row],[Block ID]],Blocks[Block ID],Blocks[Area (ha)],"")))</f>
        <v/>
      </c>
      <c r="F99" s="33"/>
      <c r="G99" s="105" t="str">
        <f t="shared" si="3"/>
        <v/>
      </c>
      <c r="H99" s="33"/>
      <c r="I99" s="33"/>
      <c r="J99" s="33"/>
      <c r="K99" s="77"/>
      <c r="L99" s="33"/>
      <c r="M99" s="33"/>
      <c r="N99" s="23" t="str">
        <f t="shared" si="4"/>
        <v/>
      </c>
      <c r="O99" s="23">
        <f>Applications[[#This Row],[Nitrogen concentration in drain solution
 (ppm or mg/L)]]*Applications[[#This Row],[Volume of solution applied
(m3)]]/1000</f>
        <v>0</v>
      </c>
      <c r="P99" s="33"/>
      <c r="Q99" s="23" t="str">
        <f t="shared" si="5"/>
        <v/>
      </c>
      <c r="R99" s="98">
        <f>Applications[[#This Row],[Phosphorus concentration in drain solution
(ppm or mg/L)]]*Applications[[#This Row],[Volume of solution applied
(m3)]]/1000</f>
        <v>0</v>
      </c>
      <c r="S99" s="65"/>
      <c r="U99" s="99" t="str">
        <f>IF(Applications[[#This Row],[Date]]="","",Applications[[#This Row],[Date]])</f>
        <v/>
      </c>
      <c r="V99" s="18" t="str">
        <f>IF(Applications[[#This Row],[Volume of solution applied
(m3)]]="","",Applications[[#This Row],[Volume of solution applied
(m3)]])</f>
        <v/>
      </c>
      <c r="W99" s="18" t="str">
        <v/>
      </c>
      <c r="X99" s="18" t="str">
        <v/>
      </c>
      <c r="Y99" s="18">
        <v>0</v>
      </c>
      <c r="Z99" s="18">
        <v>0</v>
      </c>
    </row>
    <row r="100" spans="2:26" ht="35.1" customHeight="1" thickBot="1">
      <c r="B100" s="54">
        <v>95</v>
      </c>
      <c r="C100" s="32"/>
      <c r="D100" s="33"/>
      <c r="E100" s="104" t="str">
        <f>IF(Applications[[#This Row],[Block ID]]="","",(_xlfn.XLOOKUP(Applications[[#This Row],[Block ID]],Blocks[Block ID],Blocks[Area (ha)],"")))</f>
        <v/>
      </c>
      <c r="F100" s="33"/>
      <c r="G100" s="105" t="str">
        <f t="shared" si="3"/>
        <v/>
      </c>
      <c r="H100" s="33"/>
      <c r="I100" s="33"/>
      <c r="J100" s="33"/>
      <c r="K100" s="77"/>
      <c r="L100" s="33"/>
      <c r="M100" s="33"/>
      <c r="N100" s="23" t="str">
        <f t="shared" si="4"/>
        <v/>
      </c>
      <c r="O100" s="23">
        <f>Applications[[#This Row],[Nitrogen concentration in drain solution
 (ppm or mg/L)]]*Applications[[#This Row],[Volume of solution applied
(m3)]]/1000</f>
        <v>0</v>
      </c>
      <c r="P100" s="33"/>
      <c r="Q100" s="23" t="str">
        <f t="shared" si="5"/>
        <v/>
      </c>
      <c r="R100" s="98">
        <f>Applications[[#This Row],[Phosphorus concentration in drain solution
(ppm or mg/L)]]*Applications[[#This Row],[Volume of solution applied
(m3)]]/1000</f>
        <v>0</v>
      </c>
      <c r="S100" s="65"/>
      <c r="U100" s="99" t="str">
        <f>IF(Applications[[#This Row],[Date]]="","",Applications[[#This Row],[Date]])</f>
        <v/>
      </c>
      <c r="V100" s="18" t="str">
        <f>IF(Applications[[#This Row],[Volume of solution applied
(m3)]]="","",Applications[[#This Row],[Volume of solution applied
(m3)]])</f>
        <v/>
      </c>
      <c r="W100" s="18" t="str">
        <v/>
      </c>
      <c r="X100" s="18" t="str">
        <v/>
      </c>
      <c r="Y100" s="18">
        <v>0</v>
      </c>
      <c r="Z100" s="18">
        <v>0</v>
      </c>
    </row>
    <row r="101" spans="2:26" ht="35.1" customHeight="1" thickBot="1">
      <c r="B101" s="54">
        <v>96</v>
      </c>
      <c r="C101" s="32"/>
      <c r="D101" s="33"/>
      <c r="E101" s="104" t="str">
        <f>IF(Applications[[#This Row],[Block ID]]="","",(_xlfn.XLOOKUP(Applications[[#This Row],[Block ID]],Blocks[Block ID],Blocks[Area (ha)],"")))</f>
        <v/>
      </c>
      <c r="F101" s="33"/>
      <c r="G101" s="105" t="str">
        <f t="shared" si="3"/>
        <v/>
      </c>
      <c r="H101" s="33"/>
      <c r="I101" s="33"/>
      <c r="J101" s="33"/>
      <c r="K101" s="77"/>
      <c r="L101" s="33"/>
      <c r="M101" s="33"/>
      <c r="N101" s="23" t="str">
        <f t="shared" si="4"/>
        <v/>
      </c>
      <c r="O101" s="23">
        <f>Applications[[#This Row],[Nitrogen concentration in drain solution
 (ppm or mg/L)]]*Applications[[#This Row],[Volume of solution applied
(m3)]]/1000</f>
        <v>0</v>
      </c>
      <c r="P101" s="33"/>
      <c r="Q101" s="23" t="str">
        <f t="shared" si="5"/>
        <v/>
      </c>
      <c r="R101" s="98">
        <f>Applications[[#This Row],[Phosphorus concentration in drain solution
(ppm or mg/L)]]*Applications[[#This Row],[Volume of solution applied
(m3)]]/1000</f>
        <v>0</v>
      </c>
      <c r="S101" s="65"/>
      <c r="U101" s="99" t="str">
        <f>IF(Applications[[#This Row],[Date]]="","",Applications[[#This Row],[Date]])</f>
        <v/>
      </c>
      <c r="V101" s="18" t="str">
        <f>IF(Applications[[#This Row],[Volume of solution applied
(m3)]]="","",Applications[[#This Row],[Volume of solution applied
(m3)]])</f>
        <v/>
      </c>
      <c r="W101" s="18" t="str">
        <v/>
      </c>
      <c r="X101" s="18" t="str">
        <v/>
      </c>
      <c r="Y101" s="18">
        <v>0</v>
      </c>
      <c r="Z101" s="18">
        <v>0</v>
      </c>
    </row>
    <row r="102" spans="2:26" ht="35.1" customHeight="1" thickBot="1">
      <c r="B102" s="54">
        <v>97</v>
      </c>
      <c r="C102" s="32"/>
      <c r="D102" s="33"/>
      <c r="E102" s="104" t="str">
        <f>IF(Applications[[#This Row],[Block ID]]="","",(_xlfn.XLOOKUP(Applications[[#This Row],[Block ID]],Blocks[Block ID],Blocks[Area (ha)],"")))</f>
        <v/>
      </c>
      <c r="F102" s="33"/>
      <c r="G102" s="105" t="str">
        <f t="shared" si="3"/>
        <v/>
      </c>
      <c r="H102" s="33"/>
      <c r="I102" s="33"/>
      <c r="J102" s="33"/>
      <c r="K102" s="77"/>
      <c r="L102" s="33"/>
      <c r="M102" s="33"/>
      <c r="N102" s="23" t="str">
        <f t="shared" si="4"/>
        <v/>
      </c>
      <c r="O102" s="23">
        <f>Applications[[#This Row],[Nitrogen concentration in drain solution
 (ppm or mg/L)]]*Applications[[#This Row],[Volume of solution applied
(m3)]]/1000</f>
        <v>0</v>
      </c>
      <c r="P102" s="33"/>
      <c r="Q102" s="23" t="str">
        <f t="shared" si="5"/>
        <v/>
      </c>
      <c r="R102" s="98">
        <f>Applications[[#This Row],[Phosphorus concentration in drain solution
(ppm or mg/L)]]*Applications[[#This Row],[Volume of solution applied
(m3)]]/1000</f>
        <v>0</v>
      </c>
      <c r="S102" s="65"/>
      <c r="U102" s="99" t="str">
        <f>IF(Applications[[#This Row],[Date]]="","",Applications[[#This Row],[Date]])</f>
        <v/>
      </c>
      <c r="V102" s="18" t="str">
        <f>IF(Applications[[#This Row],[Volume of solution applied
(m3)]]="","",Applications[[#This Row],[Volume of solution applied
(m3)]])</f>
        <v/>
      </c>
      <c r="W102" s="18" t="str">
        <v/>
      </c>
      <c r="X102" s="18" t="str">
        <v/>
      </c>
      <c r="Y102" s="18">
        <v>0</v>
      </c>
      <c r="Z102" s="18">
        <v>0</v>
      </c>
    </row>
    <row r="103" spans="2:26" ht="35.1" customHeight="1" thickBot="1">
      <c r="B103" s="54">
        <v>98</v>
      </c>
      <c r="C103" s="32"/>
      <c r="D103" s="33"/>
      <c r="E103" s="104" t="str">
        <f>IF(Applications[[#This Row],[Block ID]]="","",(_xlfn.XLOOKUP(Applications[[#This Row],[Block ID]],Blocks[Block ID],Blocks[Area (ha)],"")))</f>
        <v/>
      </c>
      <c r="F103" s="33"/>
      <c r="G103" s="105" t="str">
        <f t="shared" si="3"/>
        <v/>
      </c>
      <c r="H103" s="33"/>
      <c r="I103" s="33"/>
      <c r="J103" s="33"/>
      <c r="K103" s="77"/>
      <c r="L103" s="33"/>
      <c r="M103" s="33"/>
      <c r="N103" s="23" t="str">
        <f t="shared" si="4"/>
        <v/>
      </c>
      <c r="O103" s="23">
        <f>Applications[[#This Row],[Nitrogen concentration in drain solution
 (ppm or mg/L)]]*Applications[[#This Row],[Volume of solution applied
(m3)]]/1000</f>
        <v>0</v>
      </c>
      <c r="P103" s="33"/>
      <c r="Q103" s="23" t="str">
        <f t="shared" si="5"/>
        <v/>
      </c>
      <c r="R103" s="98">
        <f>Applications[[#This Row],[Phosphorus concentration in drain solution
(ppm or mg/L)]]*Applications[[#This Row],[Volume of solution applied
(m3)]]/1000</f>
        <v>0</v>
      </c>
      <c r="S103" s="65"/>
      <c r="U103" s="99" t="str">
        <f>IF(Applications[[#This Row],[Date]]="","",Applications[[#This Row],[Date]])</f>
        <v/>
      </c>
      <c r="V103" s="18" t="str">
        <f>IF(Applications[[#This Row],[Volume of solution applied
(m3)]]="","",Applications[[#This Row],[Volume of solution applied
(m3)]])</f>
        <v/>
      </c>
      <c r="W103" s="18" t="str">
        <v/>
      </c>
      <c r="X103" s="18" t="str">
        <v/>
      </c>
      <c r="Y103" s="18">
        <v>0</v>
      </c>
      <c r="Z103" s="18">
        <v>0</v>
      </c>
    </row>
    <row r="104" spans="2:26" ht="35.1" customHeight="1" thickBot="1">
      <c r="B104" s="54">
        <v>99</v>
      </c>
      <c r="C104" s="32"/>
      <c r="D104" s="33"/>
      <c r="E104" s="104" t="str">
        <f>IF(Applications[[#This Row],[Block ID]]="","",(_xlfn.XLOOKUP(Applications[[#This Row],[Block ID]],Blocks[Block ID],Blocks[Area (ha)],"")))</f>
        <v/>
      </c>
      <c r="F104" s="33"/>
      <c r="G104" s="105" t="str">
        <f t="shared" si="3"/>
        <v/>
      </c>
      <c r="H104" s="33"/>
      <c r="I104" s="33"/>
      <c r="J104" s="33"/>
      <c r="K104" s="77"/>
      <c r="L104" s="33"/>
      <c r="M104" s="33"/>
      <c r="N104" s="23" t="str">
        <f t="shared" si="4"/>
        <v/>
      </c>
      <c r="O104" s="23">
        <f>Applications[[#This Row],[Nitrogen concentration in drain solution
 (ppm or mg/L)]]*Applications[[#This Row],[Volume of solution applied
(m3)]]/1000</f>
        <v>0</v>
      </c>
      <c r="P104" s="33"/>
      <c r="Q104" s="23" t="str">
        <f t="shared" si="5"/>
        <v/>
      </c>
      <c r="R104" s="98">
        <f>Applications[[#This Row],[Phosphorus concentration in drain solution
(ppm or mg/L)]]*Applications[[#This Row],[Volume of solution applied
(m3)]]/1000</f>
        <v>0</v>
      </c>
      <c r="S104" s="65"/>
      <c r="U104" s="99" t="str">
        <f>IF(Applications[[#This Row],[Date]]="","",Applications[[#This Row],[Date]])</f>
        <v/>
      </c>
      <c r="V104" s="18" t="str">
        <f>IF(Applications[[#This Row],[Volume of solution applied
(m3)]]="","",Applications[[#This Row],[Volume of solution applied
(m3)]])</f>
        <v/>
      </c>
      <c r="W104" s="18" t="str">
        <v/>
      </c>
      <c r="X104" s="18" t="str">
        <v/>
      </c>
      <c r="Y104" s="18">
        <v>0</v>
      </c>
      <c r="Z104" s="18">
        <v>0</v>
      </c>
    </row>
    <row r="105" spans="2:26" ht="35.1" customHeight="1" thickBot="1">
      <c r="B105" s="54">
        <v>100</v>
      </c>
      <c r="C105" s="32"/>
      <c r="D105" s="33"/>
      <c r="E105" s="104" t="str">
        <f>IF(Applications[[#This Row],[Block ID]]="","",(_xlfn.XLOOKUP(Applications[[#This Row],[Block ID]],Blocks[Block ID],Blocks[Area (ha)],"")))</f>
        <v/>
      </c>
      <c r="F105" s="33"/>
      <c r="G105" s="105" t="str">
        <f t="shared" si="3"/>
        <v/>
      </c>
      <c r="H105" s="33"/>
      <c r="I105" s="33"/>
      <c r="J105" s="33"/>
      <c r="K105" s="77"/>
      <c r="L105" s="33"/>
      <c r="M105" s="33"/>
      <c r="N105" s="23" t="str">
        <f t="shared" si="4"/>
        <v/>
      </c>
      <c r="O105" s="23">
        <f>Applications[[#This Row],[Nitrogen concentration in drain solution
 (ppm or mg/L)]]*Applications[[#This Row],[Volume of solution applied
(m3)]]/1000</f>
        <v>0</v>
      </c>
      <c r="P105" s="33"/>
      <c r="Q105" s="23" t="str">
        <f t="shared" si="5"/>
        <v/>
      </c>
      <c r="R105" s="98">
        <f>Applications[[#This Row],[Phosphorus concentration in drain solution
(ppm or mg/L)]]*Applications[[#This Row],[Volume of solution applied
(m3)]]/1000</f>
        <v>0</v>
      </c>
      <c r="S105" s="65"/>
      <c r="U105" s="99" t="str">
        <f>IF(Applications[[#This Row],[Date]]="","",Applications[[#This Row],[Date]])</f>
        <v/>
      </c>
      <c r="V105" s="18" t="str">
        <f>IF(Applications[[#This Row],[Volume of solution applied
(m3)]]="","",Applications[[#This Row],[Volume of solution applied
(m3)]])</f>
        <v/>
      </c>
      <c r="W105" s="18" t="str">
        <v/>
      </c>
      <c r="X105" s="18" t="str">
        <v/>
      </c>
      <c r="Y105" s="18">
        <v>0</v>
      </c>
      <c r="Z105" s="18">
        <v>0</v>
      </c>
    </row>
    <row r="106" spans="2:26" ht="35.1" customHeight="1" thickBot="1">
      <c r="B106" s="54">
        <v>101</v>
      </c>
      <c r="C106" s="32"/>
      <c r="D106" s="33"/>
      <c r="E106" s="104" t="str">
        <f>IF(Applications[[#This Row],[Block ID]]="","",(_xlfn.XLOOKUP(Applications[[#This Row],[Block ID]],Blocks[Block ID],Blocks[Area (ha)],"")))</f>
        <v/>
      </c>
      <c r="F106" s="33"/>
      <c r="G106" s="105" t="str">
        <f t="shared" si="3"/>
        <v/>
      </c>
      <c r="H106" s="33"/>
      <c r="I106" s="33"/>
      <c r="J106" s="33"/>
      <c r="K106" s="77"/>
      <c r="L106" s="33"/>
      <c r="M106" s="33"/>
      <c r="N106" s="23" t="str">
        <f t="shared" si="4"/>
        <v/>
      </c>
      <c r="O106" s="23">
        <f>Applications[[#This Row],[Nitrogen concentration in drain solution
 (ppm or mg/L)]]*Applications[[#This Row],[Volume of solution applied
(m3)]]/1000</f>
        <v>0</v>
      </c>
      <c r="P106" s="33"/>
      <c r="Q106" s="23" t="str">
        <f t="shared" si="5"/>
        <v/>
      </c>
      <c r="R106" s="98">
        <f>Applications[[#This Row],[Phosphorus concentration in drain solution
(ppm or mg/L)]]*Applications[[#This Row],[Volume of solution applied
(m3)]]/1000</f>
        <v>0</v>
      </c>
      <c r="S106" s="65"/>
      <c r="U106" s="99" t="str">
        <f>IF(Applications[[#This Row],[Date]]="","",Applications[[#This Row],[Date]])</f>
        <v/>
      </c>
      <c r="V106" s="18" t="str">
        <f>IF(Applications[[#This Row],[Volume of solution applied
(m3)]]="","",Applications[[#This Row],[Volume of solution applied
(m3)]])</f>
        <v/>
      </c>
      <c r="W106" s="18" t="str">
        <v/>
      </c>
      <c r="X106" s="18" t="str">
        <v/>
      </c>
      <c r="Y106" s="18">
        <v>0</v>
      </c>
      <c r="Z106" s="18">
        <v>0</v>
      </c>
    </row>
    <row r="107" spans="2:26" ht="35.1" customHeight="1" thickBot="1">
      <c r="B107" s="54">
        <v>102</v>
      </c>
      <c r="C107" s="32"/>
      <c r="D107" s="33"/>
      <c r="E107" s="104" t="str">
        <f>IF(Applications[[#This Row],[Block ID]]="","",(_xlfn.XLOOKUP(Applications[[#This Row],[Block ID]],Blocks[Block ID],Blocks[Area (ha)],"")))</f>
        <v/>
      </c>
      <c r="F107" s="33"/>
      <c r="G107" s="105" t="str">
        <f t="shared" si="3"/>
        <v/>
      </c>
      <c r="H107" s="33"/>
      <c r="I107" s="33"/>
      <c r="J107" s="33"/>
      <c r="K107" s="77"/>
      <c r="L107" s="33"/>
      <c r="M107" s="33"/>
      <c r="N107" s="23" t="str">
        <f t="shared" si="4"/>
        <v/>
      </c>
      <c r="O107" s="23">
        <f>Applications[[#This Row],[Nitrogen concentration in drain solution
 (ppm or mg/L)]]*Applications[[#This Row],[Volume of solution applied
(m3)]]/1000</f>
        <v>0</v>
      </c>
      <c r="P107" s="33"/>
      <c r="Q107" s="23" t="str">
        <f t="shared" si="5"/>
        <v/>
      </c>
      <c r="R107" s="98">
        <f>Applications[[#This Row],[Phosphorus concentration in drain solution
(ppm or mg/L)]]*Applications[[#This Row],[Volume of solution applied
(m3)]]/1000</f>
        <v>0</v>
      </c>
      <c r="S107" s="65"/>
      <c r="U107" s="99" t="str">
        <f>IF(Applications[[#This Row],[Date]]="","",Applications[[#This Row],[Date]])</f>
        <v/>
      </c>
      <c r="V107" s="18" t="str">
        <f>IF(Applications[[#This Row],[Volume of solution applied
(m3)]]="","",Applications[[#This Row],[Volume of solution applied
(m3)]])</f>
        <v/>
      </c>
      <c r="W107" s="18" t="str">
        <v/>
      </c>
      <c r="X107" s="18" t="str">
        <v/>
      </c>
      <c r="Y107" s="18">
        <v>0</v>
      </c>
      <c r="Z107" s="18">
        <v>0</v>
      </c>
    </row>
    <row r="108" spans="2:26" ht="35.1" customHeight="1" thickBot="1">
      <c r="B108" s="54">
        <v>103</v>
      </c>
      <c r="C108" s="32"/>
      <c r="D108" s="33"/>
      <c r="E108" s="104" t="str">
        <f>IF(Applications[[#This Row],[Block ID]]="","",(_xlfn.XLOOKUP(Applications[[#This Row],[Block ID]],Blocks[Block ID],Blocks[Area (ha)],"")))</f>
        <v/>
      </c>
      <c r="F108" s="33"/>
      <c r="G108" s="105" t="str">
        <f t="shared" si="3"/>
        <v/>
      </c>
      <c r="H108" s="33"/>
      <c r="I108" s="33"/>
      <c r="J108" s="33"/>
      <c r="K108" s="77"/>
      <c r="L108" s="33"/>
      <c r="M108" s="33"/>
      <c r="N108" s="23" t="str">
        <f t="shared" si="4"/>
        <v/>
      </c>
      <c r="O108" s="23">
        <f>Applications[[#This Row],[Nitrogen concentration in drain solution
 (ppm or mg/L)]]*Applications[[#This Row],[Volume of solution applied
(m3)]]/1000</f>
        <v>0</v>
      </c>
      <c r="P108" s="33"/>
      <c r="Q108" s="23" t="str">
        <f t="shared" si="5"/>
        <v/>
      </c>
      <c r="R108" s="98">
        <f>Applications[[#This Row],[Phosphorus concentration in drain solution
(ppm or mg/L)]]*Applications[[#This Row],[Volume of solution applied
(m3)]]/1000</f>
        <v>0</v>
      </c>
      <c r="S108" s="65"/>
      <c r="U108" s="99" t="str">
        <f>IF(Applications[[#This Row],[Date]]="","",Applications[[#This Row],[Date]])</f>
        <v/>
      </c>
      <c r="V108" s="18" t="str">
        <f>IF(Applications[[#This Row],[Volume of solution applied
(m3)]]="","",Applications[[#This Row],[Volume of solution applied
(m3)]])</f>
        <v/>
      </c>
      <c r="W108" s="18" t="str">
        <v/>
      </c>
      <c r="X108" s="18" t="str">
        <v/>
      </c>
      <c r="Y108" s="18">
        <v>0</v>
      </c>
      <c r="Z108" s="18">
        <v>0</v>
      </c>
    </row>
    <row r="109" spans="2:26" ht="35.1" customHeight="1" thickBot="1">
      <c r="B109" s="54">
        <v>104</v>
      </c>
      <c r="C109" s="32"/>
      <c r="D109" s="33"/>
      <c r="E109" s="104" t="str">
        <f>IF(Applications[[#This Row],[Block ID]]="","",(_xlfn.XLOOKUP(Applications[[#This Row],[Block ID]],Blocks[Block ID],Blocks[Area (ha)],"")))</f>
        <v/>
      </c>
      <c r="F109" s="33"/>
      <c r="G109" s="105" t="str">
        <f t="shared" si="3"/>
        <v/>
      </c>
      <c r="H109" s="33"/>
      <c r="I109" s="33"/>
      <c r="J109" s="33"/>
      <c r="K109" s="77"/>
      <c r="L109" s="33"/>
      <c r="M109" s="33"/>
      <c r="N109" s="23" t="str">
        <f t="shared" si="4"/>
        <v/>
      </c>
      <c r="O109" s="23">
        <f>Applications[[#This Row],[Nitrogen concentration in drain solution
 (ppm or mg/L)]]*Applications[[#This Row],[Volume of solution applied
(m3)]]/1000</f>
        <v>0</v>
      </c>
      <c r="P109" s="33"/>
      <c r="Q109" s="23" t="str">
        <f t="shared" si="5"/>
        <v/>
      </c>
      <c r="R109" s="98">
        <f>Applications[[#This Row],[Phosphorus concentration in drain solution
(ppm or mg/L)]]*Applications[[#This Row],[Volume of solution applied
(m3)]]/1000</f>
        <v>0</v>
      </c>
      <c r="S109" s="65"/>
      <c r="U109" s="99" t="str">
        <f>IF(Applications[[#This Row],[Date]]="","",Applications[[#This Row],[Date]])</f>
        <v/>
      </c>
      <c r="V109" s="18" t="str">
        <f>IF(Applications[[#This Row],[Volume of solution applied
(m3)]]="","",Applications[[#This Row],[Volume of solution applied
(m3)]])</f>
        <v/>
      </c>
      <c r="W109" s="18" t="str">
        <v/>
      </c>
      <c r="X109" s="18" t="str">
        <v/>
      </c>
      <c r="Y109" s="18">
        <v>0</v>
      </c>
      <c r="Z109" s="18">
        <v>0</v>
      </c>
    </row>
    <row r="110" spans="2:26" ht="35.1" customHeight="1" thickBot="1">
      <c r="B110" s="54">
        <v>105</v>
      </c>
      <c r="C110" s="32"/>
      <c r="D110" s="33"/>
      <c r="E110" s="104" t="str">
        <f>IF(Applications[[#This Row],[Block ID]]="","",(_xlfn.XLOOKUP(Applications[[#This Row],[Block ID]],Blocks[Block ID],Blocks[Area (ha)],"")))</f>
        <v/>
      </c>
      <c r="F110" s="33"/>
      <c r="G110" s="105" t="str">
        <f t="shared" si="3"/>
        <v/>
      </c>
      <c r="H110" s="33"/>
      <c r="I110" s="33"/>
      <c r="J110" s="33"/>
      <c r="K110" s="77"/>
      <c r="L110" s="33"/>
      <c r="M110" s="33"/>
      <c r="N110" s="23" t="str">
        <f t="shared" si="4"/>
        <v/>
      </c>
      <c r="O110" s="23">
        <f>Applications[[#This Row],[Nitrogen concentration in drain solution
 (ppm or mg/L)]]*Applications[[#This Row],[Volume of solution applied
(m3)]]/1000</f>
        <v>0</v>
      </c>
      <c r="P110" s="33"/>
      <c r="Q110" s="23" t="str">
        <f t="shared" si="5"/>
        <v/>
      </c>
      <c r="R110" s="98">
        <f>Applications[[#This Row],[Phosphorus concentration in drain solution
(ppm or mg/L)]]*Applications[[#This Row],[Volume of solution applied
(m3)]]/1000</f>
        <v>0</v>
      </c>
      <c r="S110" s="65"/>
      <c r="U110" s="99" t="str">
        <f>IF(Applications[[#This Row],[Date]]="","",Applications[[#This Row],[Date]])</f>
        <v/>
      </c>
      <c r="V110" s="18" t="str">
        <f>IF(Applications[[#This Row],[Volume of solution applied
(m3)]]="","",Applications[[#This Row],[Volume of solution applied
(m3)]])</f>
        <v/>
      </c>
      <c r="W110" s="18" t="str">
        <v/>
      </c>
      <c r="X110" s="18" t="str">
        <v/>
      </c>
      <c r="Y110" s="18">
        <v>0</v>
      </c>
      <c r="Z110" s="18">
        <v>0</v>
      </c>
    </row>
    <row r="111" spans="2:26" ht="35.1" customHeight="1" thickBot="1">
      <c r="B111" s="54">
        <v>106</v>
      </c>
      <c r="C111" s="32"/>
      <c r="D111" s="33"/>
      <c r="E111" s="104" t="str">
        <f>IF(Applications[[#This Row],[Block ID]]="","",(_xlfn.XLOOKUP(Applications[[#This Row],[Block ID]],Blocks[Block ID],Blocks[Area (ha)],"")))</f>
        <v/>
      </c>
      <c r="F111" s="33"/>
      <c r="G111" s="105" t="str">
        <f t="shared" si="3"/>
        <v/>
      </c>
      <c r="H111" s="33"/>
      <c r="I111" s="33"/>
      <c r="J111" s="33"/>
      <c r="K111" s="77"/>
      <c r="L111" s="33"/>
      <c r="M111" s="33"/>
      <c r="N111" s="23" t="str">
        <f t="shared" si="4"/>
        <v/>
      </c>
      <c r="O111" s="23">
        <f>Applications[[#This Row],[Nitrogen concentration in drain solution
 (ppm or mg/L)]]*Applications[[#This Row],[Volume of solution applied
(m3)]]/1000</f>
        <v>0</v>
      </c>
      <c r="P111" s="33"/>
      <c r="Q111" s="23" t="str">
        <f t="shared" si="5"/>
        <v/>
      </c>
      <c r="R111" s="98">
        <f>Applications[[#This Row],[Phosphorus concentration in drain solution
(ppm or mg/L)]]*Applications[[#This Row],[Volume of solution applied
(m3)]]/1000</f>
        <v>0</v>
      </c>
      <c r="S111" s="65"/>
      <c r="U111" s="99" t="str">
        <f>IF(Applications[[#This Row],[Date]]="","",Applications[[#This Row],[Date]])</f>
        <v/>
      </c>
      <c r="V111" s="18" t="str">
        <f>IF(Applications[[#This Row],[Volume of solution applied
(m3)]]="","",Applications[[#This Row],[Volume of solution applied
(m3)]])</f>
        <v/>
      </c>
      <c r="W111" s="18" t="str">
        <v/>
      </c>
      <c r="X111" s="18" t="str">
        <v/>
      </c>
      <c r="Y111" s="18">
        <v>0</v>
      </c>
      <c r="Z111" s="18">
        <v>0</v>
      </c>
    </row>
    <row r="112" spans="2:26" ht="35.1" customHeight="1" thickBot="1">
      <c r="B112" s="54">
        <v>107</v>
      </c>
      <c r="C112" s="32"/>
      <c r="D112" s="33"/>
      <c r="E112" s="104" t="str">
        <f>IF(Applications[[#This Row],[Block ID]]="","",(_xlfn.XLOOKUP(Applications[[#This Row],[Block ID]],Blocks[Block ID],Blocks[Area (ha)],"")))</f>
        <v/>
      </c>
      <c r="F112" s="33"/>
      <c r="G112" s="105" t="str">
        <f t="shared" si="3"/>
        <v/>
      </c>
      <c r="H112" s="33"/>
      <c r="I112" s="33"/>
      <c r="J112" s="33"/>
      <c r="K112" s="77"/>
      <c r="L112" s="33"/>
      <c r="M112" s="33"/>
      <c r="N112" s="23" t="str">
        <f t="shared" si="4"/>
        <v/>
      </c>
      <c r="O112" s="23">
        <f>Applications[[#This Row],[Nitrogen concentration in drain solution
 (ppm or mg/L)]]*Applications[[#This Row],[Volume of solution applied
(m3)]]/1000</f>
        <v>0</v>
      </c>
      <c r="P112" s="33"/>
      <c r="Q112" s="23" t="str">
        <f t="shared" si="5"/>
        <v/>
      </c>
      <c r="R112" s="98">
        <f>Applications[[#This Row],[Phosphorus concentration in drain solution
(ppm or mg/L)]]*Applications[[#This Row],[Volume of solution applied
(m3)]]/1000</f>
        <v>0</v>
      </c>
      <c r="S112" s="65"/>
      <c r="U112" s="99" t="str">
        <f>IF(Applications[[#This Row],[Date]]="","",Applications[[#This Row],[Date]])</f>
        <v/>
      </c>
      <c r="V112" s="18" t="str">
        <f>IF(Applications[[#This Row],[Volume of solution applied
(m3)]]="","",Applications[[#This Row],[Volume of solution applied
(m3)]])</f>
        <v/>
      </c>
      <c r="W112" s="18" t="str">
        <v/>
      </c>
      <c r="X112" s="18" t="str">
        <v/>
      </c>
      <c r="Y112" s="18">
        <v>0</v>
      </c>
      <c r="Z112" s="18">
        <v>0</v>
      </c>
    </row>
    <row r="113" spans="2:26" ht="35.1" customHeight="1" thickBot="1">
      <c r="B113" s="54">
        <v>108</v>
      </c>
      <c r="C113" s="32"/>
      <c r="D113" s="33"/>
      <c r="E113" s="104" t="str">
        <f>IF(Applications[[#This Row],[Block ID]]="","",(_xlfn.XLOOKUP(Applications[[#This Row],[Block ID]],Blocks[Block ID],Blocks[Area (ha)],"")))</f>
        <v/>
      </c>
      <c r="F113" s="33"/>
      <c r="G113" s="105" t="str">
        <f t="shared" si="3"/>
        <v/>
      </c>
      <c r="H113" s="33"/>
      <c r="I113" s="33"/>
      <c r="J113" s="33"/>
      <c r="K113" s="77"/>
      <c r="L113" s="33"/>
      <c r="M113" s="33"/>
      <c r="N113" s="23" t="str">
        <f t="shared" si="4"/>
        <v/>
      </c>
      <c r="O113" s="23">
        <f>Applications[[#This Row],[Nitrogen concentration in drain solution
 (ppm or mg/L)]]*Applications[[#This Row],[Volume of solution applied
(m3)]]/1000</f>
        <v>0</v>
      </c>
      <c r="P113" s="33"/>
      <c r="Q113" s="23" t="str">
        <f t="shared" si="5"/>
        <v/>
      </c>
      <c r="R113" s="98">
        <f>Applications[[#This Row],[Phosphorus concentration in drain solution
(ppm or mg/L)]]*Applications[[#This Row],[Volume of solution applied
(m3)]]/1000</f>
        <v>0</v>
      </c>
      <c r="S113" s="65"/>
      <c r="U113" s="99" t="str">
        <f>IF(Applications[[#This Row],[Date]]="","",Applications[[#This Row],[Date]])</f>
        <v/>
      </c>
      <c r="V113" s="18" t="str">
        <f>IF(Applications[[#This Row],[Volume of solution applied
(m3)]]="","",Applications[[#This Row],[Volume of solution applied
(m3)]])</f>
        <v/>
      </c>
      <c r="W113" s="18" t="str">
        <v/>
      </c>
      <c r="X113" s="18" t="str">
        <v/>
      </c>
      <c r="Y113" s="18">
        <v>0</v>
      </c>
      <c r="Z113" s="18">
        <v>0</v>
      </c>
    </row>
    <row r="114" spans="2:26" ht="35.1" customHeight="1" thickBot="1">
      <c r="B114" s="54">
        <v>109</v>
      </c>
      <c r="C114" s="32"/>
      <c r="D114" s="33"/>
      <c r="E114" s="104" t="str">
        <f>IF(Applications[[#This Row],[Block ID]]="","",(_xlfn.XLOOKUP(Applications[[#This Row],[Block ID]],Blocks[Block ID],Blocks[Area (ha)],"")))</f>
        <v/>
      </c>
      <c r="F114" s="33"/>
      <c r="G114" s="105" t="str">
        <f t="shared" si="3"/>
        <v/>
      </c>
      <c r="H114" s="33"/>
      <c r="I114" s="33"/>
      <c r="J114" s="33"/>
      <c r="K114" s="77"/>
      <c r="L114" s="33"/>
      <c r="M114" s="33"/>
      <c r="N114" s="23" t="str">
        <f t="shared" si="4"/>
        <v/>
      </c>
      <c r="O114" s="23">
        <f>Applications[[#This Row],[Nitrogen concentration in drain solution
 (ppm or mg/L)]]*Applications[[#This Row],[Volume of solution applied
(m3)]]/1000</f>
        <v>0</v>
      </c>
      <c r="P114" s="33"/>
      <c r="Q114" s="23" t="str">
        <f t="shared" si="5"/>
        <v/>
      </c>
      <c r="R114" s="98">
        <f>Applications[[#This Row],[Phosphorus concentration in drain solution
(ppm or mg/L)]]*Applications[[#This Row],[Volume of solution applied
(m3)]]/1000</f>
        <v>0</v>
      </c>
      <c r="S114" s="65"/>
      <c r="U114" s="99" t="str">
        <f>IF(Applications[[#This Row],[Date]]="","",Applications[[#This Row],[Date]])</f>
        <v/>
      </c>
      <c r="V114" s="18" t="str">
        <f>IF(Applications[[#This Row],[Volume of solution applied
(m3)]]="","",Applications[[#This Row],[Volume of solution applied
(m3)]])</f>
        <v/>
      </c>
      <c r="W114" s="18" t="str">
        <v/>
      </c>
      <c r="X114" s="18" t="str">
        <v/>
      </c>
      <c r="Y114" s="18">
        <v>0</v>
      </c>
      <c r="Z114" s="18">
        <v>0</v>
      </c>
    </row>
    <row r="115" spans="2:26" ht="35.1" customHeight="1" thickBot="1">
      <c r="B115" s="54">
        <v>110</v>
      </c>
      <c r="C115" s="32"/>
      <c r="D115" s="33"/>
      <c r="E115" s="104" t="str">
        <f>IF(Applications[[#This Row],[Block ID]]="","",(_xlfn.XLOOKUP(Applications[[#This Row],[Block ID]],Blocks[Block ID],Blocks[Area (ha)],"")))</f>
        <v/>
      </c>
      <c r="F115" s="33"/>
      <c r="G115" s="105" t="str">
        <f t="shared" si="3"/>
        <v/>
      </c>
      <c r="H115" s="33"/>
      <c r="I115" s="33"/>
      <c r="J115" s="33"/>
      <c r="K115" s="77"/>
      <c r="L115" s="33"/>
      <c r="M115" s="33"/>
      <c r="N115" s="23" t="str">
        <f t="shared" si="4"/>
        <v/>
      </c>
      <c r="O115" s="23">
        <f>Applications[[#This Row],[Nitrogen concentration in drain solution
 (ppm or mg/L)]]*Applications[[#This Row],[Volume of solution applied
(m3)]]/1000</f>
        <v>0</v>
      </c>
      <c r="P115" s="33"/>
      <c r="Q115" s="23" t="str">
        <f t="shared" si="5"/>
        <v/>
      </c>
      <c r="R115" s="98">
        <f>Applications[[#This Row],[Phosphorus concentration in drain solution
(ppm or mg/L)]]*Applications[[#This Row],[Volume of solution applied
(m3)]]/1000</f>
        <v>0</v>
      </c>
      <c r="S115" s="65"/>
      <c r="U115" s="99" t="str">
        <f>IF(Applications[[#This Row],[Date]]="","",Applications[[#This Row],[Date]])</f>
        <v/>
      </c>
      <c r="V115" s="18" t="str">
        <f>IF(Applications[[#This Row],[Volume of solution applied
(m3)]]="","",Applications[[#This Row],[Volume of solution applied
(m3)]])</f>
        <v/>
      </c>
      <c r="W115" s="18" t="str">
        <v/>
      </c>
      <c r="X115" s="18" t="str">
        <v/>
      </c>
      <c r="Y115" s="18">
        <v>0</v>
      </c>
      <c r="Z115" s="18">
        <v>0</v>
      </c>
    </row>
    <row r="116" spans="2:26" ht="35.1" customHeight="1" thickBot="1">
      <c r="B116" s="54">
        <v>111</v>
      </c>
      <c r="C116" s="32"/>
      <c r="D116" s="33"/>
      <c r="E116" s="104" t="str">
        <f>IF(Applications[[#This Row],[Block ID]]="","",(_xlfn.XLOOKUP(Applications[[#This Row],[Block ID]],Blocks[Block ID],Blocks[Area (ha)],"")))</f>
        <v/>
      </c>
      <c r="F116" s="33"/>
      <c r="G116" s="105" t="str">
        <f t="shared" si="3"/>
        <v/>
      </c>
      <c r="H116" s="33"/>
      <c r="I116" s="33"/>
      <c r="J116" s="33"/>
      <c r="K116" s="77"/>
      <c r="L116" s="33"/>
      <c r="M116" s="33"/>
      <c r="N116" s="23" t="str">
        <f t="shared" si="4"/>
        <v/>
      </c>
      <c r="O116" s="23">
        <f>Applications[[#This Row],[Nitrogen concentration in drain solution
 (ppm or mg/L)]]*Applications[[#This Row],[Volume of solution applied
(m3)]]/1000</f>
        <v>0</v>
      </c>
      <c r="P116" s="33"/>
      <c r="Q116" s="23" t="str">
        <f t="shared" si="5"/>
        <v/>
      </c>
      <c r="R116" s="98">
        <f>Applications[[#This Row],[Phosphorus concentration in drain solution
(ppm or mg/L)]]*Applications[[#This Row],[Volume of solution applied
(m3)]]/1000</f>
        <v>0</v>
      </c>
      <c r="S116" s="65"/>
      <c r="U116" s="99" t="str">
        <f>IF(Applications[[#This Row],[Date]]="","",Applications[[#This Row],[Date]])</f>
        <v/>
      </c>
      <c r="V116" s="18" t="str">
        <f>IF(Applications[[#This Row],[Volume of solution applied
(m3)]]="","",Applications[[#This Row],[Volume of solution applied
(m3)]])</f>
        <v/>
      </c>
      <c r="W116" s="18" t="str">
        <v/>
      </c>
      <c r="X116" s="18" t="str">
        <v/>
      </c>
      <c r="Y116" s="18">
        <v>0</v>
      </c>
      <c r="Z116" s="18">
        <v>0</v>
      </c>
    </row>
    <row r="117" spans="2:26" ht="35.1" customHeight="1" thickBot="1">
      <c r="B117" s="54">
        <v>112</v>
      </c>
      <c r="C117" s="32"/>
      <c r="D117" s="33"/>
      <c r="E117" s="104" t="str">
        <f>IF(Applications[[#This Row],[Block ID]]="","",(_xlfn.XLOOKUP(Applications[[#This Row],[Block ID]],Blocks[Block ID],Blocks[Area (ha)],"")))</f>
        <v/>
      </c>
      <c r="F117" s="33"/>
      <c r="G117" s="105" t="str">
        <f t="shared" si="3"/>
        <v/>
      </c>
      <c r="H117" s="33"/>
      <c r="I117" s="33"/>
      <c r="J117" s="33"/>
      <c r="K117" s="77"/>
      <c r="L117" s="33"/>
      <c r="M117" s="33"/>
      <c r="N117" s="23" t="str">
        <f t="shared" si="4"/>
        <v/>
      </c>
      <c r="O117" s="23">
        <f>Applications[[#This Row],[Nitrogen concentration in drain solution
 (ppm or mg/L)]]*Applications[[#This Row],[Volume of solution applied
(m3)]]/1000</f>
        <v>0</v>
      </c>
      <c r="P117" s="33"/>
      <c r="Q117" s="23" t="str">
        <f t="shared" si="5"/>
        <v/>
      </c>
      <c r="R117" s="98">
        <f>Applications[[#This Row],[Phosphorus concentration in drain solution
(ppm or mg/L)]]*Applications[[#This Row],[Volume of solution applied
(m3)]]/1000</f>
        <v>0</v>
      </c>
      <c r="S117" s="65"/>
      <c r="U117" s="99" t="str">
        <f>IF(Applications[[#This Row],[Date]]="","",Applications[[#This Row],[Date]])</f>
        <v/>
      </c>
      <c r="V117" s="18" t="str">
        <f>IF(Applications[[#This Row],[Volume of solution applied
(m3)]]="","",Applications[[#This Row],[Volume of solution applied
(m3)]])</f>
        <v/>
      </c>
      <c r="W117" s="18" t="str">
        <v/>
      </c>
      <c r="X117" s="18" t="str">
        <v/>
      </c>
      <c r="Y117" s="18">
        <v>0</v>
      </c>
      <c r="Z117" s="18">
        <v>0</v>
      </c>
    </row>
    <row r="118" spans="2:26" ht="35.1" customHeight="1" thickBot="1">
      <c r="B118" s="54">
        <v>113</v>
      </c>
      <c r="C118" s="32"/>
      <c r="D118" s="33"/>
      <c r="E118" s="104" t="str">
        <f>IF(Applications[[#This Row],[Block ID]]="","",(_xlfn.XLOOKUP(Applications[[#This Row],[Block ID]],Blocks[Block ID],Blocks[Area (ha)],"")))</f>
        <v/>
      </c>
      <c r="F118" s="33"/>
      <c r="G118" s="105" t="str">
        <f t="shared" si="3"/>
        <v/>
      </c>
      <c r="H118" s="33"/>
      <c r="I118" s="33"/>
      <c r="J118" s="33"/>
      <c r="K118" s="77"/>
      <c r="L118" s="33"/>
      <c r="M118" s="33"/>
      <c r="N118" s="23" t="str">
        <f t="shared" si="4"/>
        <v/>
      </c>
      <c r="O118" s="23">
        <f>Applications[[#This Row],[Nitrogen concentration in drain solution
 (ppm or mg/L)]]*Applications[[#This Row],[Volume of solution applied
(m3)]]/1000</f>
        <v>0</v>
      </c>
      <c r="P118" s="33"/>
      <c r="Q118" s="23" t="str">
        <f t="shared" si="5"/>
        <v/>
      </c>
      <c r="R118" s="98">
        <f>Applications[[#This Row],[Phosphorus concentration in drain solution
(ppm or mg/L)]]*Applications[[#This Row],[Volume of solution applied
(m3)]]/1000</f>
        <v>0</v>
      </c>
      <c r="S118" s="65"/>
      <c r="U118" s="99" t="str">
        <f>IF(Applications[[#This Row],[Date]]="","",Applications[[#This Row],[Date]])</f>
        <v/>
      </c>
      <c r="V118" s="18" t="str">
        <f>IF(Applications[[#This Row],[Volume of solution applied
(m3)]]="","",Applications[[#This Row],[Volume of solution applied
(m3)]])</f>
        <v/>
      </c>
      <c r="W118" s="18" t="str">
        <v/>
      </c>
      <c r="X118" s="18" t="str">
        <v/>
      </c>
      <c r="Y118" s="18">
        <v>0</v>
      </c>
      <c r="Z118" s="18">
        <v>0</v>
      </c>
    </row>
    <row r="119" spans="2:26" ht="35.1" customHeight="1" thickBot="1">
      <c r="B119" s="54">
        <v>114</v>
      </c>
      <c r="C119" s="32"/>
      <c r="D119" s="33"/>
      <c r="E119" s="104" t="str">
        <f>IF(Applications[[#This Row],[Block ID]]="","",(_xlfn.XLOOKUP(Applications[[#This Row],[Block ID]],Blocks[Block ID],Blocks[Area (ha)],"")))</f>
        <v/>
      </c>
      <c r="F119" s="33"/>
      <c r="G119" s="105" t="str">
        <f t="shared" si="3"/>
        <v/>
      </c>
      <c r="H119" s="33"/>
      <c r="I119" s="33"/>
      <c r="J119" s="33"/>
      <c r="K119" s="77"/>
      <c r="L119" s="33"/>
      <c r="M119" s="33"/>
      <c r="N119" s="23" t="str">
        <f t="shared" si="4"/>
        <v/>
      </c>
      <c r="O119" s="23">
        <f>Applications[[#This Row],[Nitrogen concentration in drain solution
 (ppm or mg/L)]]*Applications[[#This Row],[Volume of solution applied
(m3)]]/1000</f>
        <v>0</v>
      </c>
      <c r="P119" s="33"/>
      <c r="Q119" s="23" t="str">
        <f t="shared" si="5"/>
        <v/>
      </c>
      <c r="R119" s="98">
        <f>Applications[[#This Row],[Phosphorus concentration in drain solution
(ppm or mg/L)]]*Applications[[#This Row],[Volume of solution applied
(m3)]]/1000</f>
        <v>0</v>
      </c>
      <c r="S119" s="65"/>
      <c r="U119" s="99" t="str">
        <f>IF(Applications[[#This Row],[Date]]="","",Applications[[#This Row],[Date]])</f>
        <v/>
      </c>
      <c r="V119" s="18" t="str">
        <f>IF(Applications[[#This Row],[Volume of solution applied
(m3)]]="","",Applications[[#This Row],[Volume of solution applied
(m3)]])</f>
        <v/>
      </c>
      <c r="W119" s="18" t="str">
        <v/>
      </c>
      <c r="X119" s="18" t="str">
        <v/>
      </c>
      <c r="Y119" s="18">
        <v>0</v>
      </c>
      <c r="Z119" s="18">
        <v>0</v>
      </c>
    </row>
    <row r="120" spans="2:26" ht="35.1" customHeight="1" thickBot="1">
      <c r="B120" s="54">
        <v>115</v>
      </c>
      <c r="C120" s="32"/>
      <c r="D120" s="33"/>
      <c r="E120" s="104" t="str">
        <f>IF(Applications[[#This Row],[Block ID]]="","",(_xlfn.XLOOKUP(Applications[[#This Row],[Block ID]],Blocks[Block ID],Blocks[Area (ha)],"")))</f>
        <v/>
      </c>
      <c r="F120" s="33"/>
      <c r="G120" s="105" t="str">
        <f t="shared" si="3"/>
        <v/>
      </c>
      <c r="H120" s="33"/>
      <c r="I120" s="33"/>
      <c r="J120" s="33"/>
      <c r="K120" s="77"/>
      <c r="L120" s="33"/>
      <c r="M120" s="33"/>
      <c r="N120" s="23" t="str">
        <f t="shared" si="4"/>
        <v/>
      </c>
      <c r="O120" s="23">
        <f>Applications[[#This Row],[Nitrogen concentration in drain solution
 (ppm or mg/L)]]*Applications[[#This Row],[Volume of solution applied
(m3)]]/1000</f>
        <v>0</v>
      </c>
      <c r="P120" s="33"/>
      <c r="Q120" s="23" t="str">
        <f t="shared" si="5"/>
        <v/>
      </c>
      <c r="R120" s="98">
        <f>Applications[[#This Row],[Phosphorus concentration in drain solution
(ppm or mg/L)]]*Applications[[#This Row],[Volume of solution applied
(m3)]]/1000</f>
        <v>0</v>
      </c>
      <c r="S120" s="65"/>
      <c r="U120" s="99" t="str">
        <f>IF(Applications[[#This Row],[Date]]="","",Applications[[#This Row],[Date]])</f>
        <v/>
      </c>
      <c r="V120" s="18" t="str">
        <f>IF(Applications[[#This Row],[Volume of solution applied
(m3)]]="","",Applications[[#This Row],[Volume of solution applied
(m3)]])</f>
        <v/>
      </c>
      <c r="W120" s="18" t="str">
        <v/>
      </c>
      <c r="X120" s="18" t="str">
        <v/>
      </c>
      <c r="Y120" s="18">
        <v>0</v>
      </c>
      <c r="Z120" s="18">
        <v>0</v>
      </c>
    </row>
    <row r="121" spans="2:26" ht="35.1" customHeight="1" thickBot="1">
      <c r="B121" s="54">
        <v>116</v>
      </c>
      <c r="C121" s="32"/>
      <c r="D121" s="33"/>
      <c r="E121" s="104" t="str">
        <f>IF(Applications[[#This Row],[Block ID]]="","",(_xlfn.XLOOKUP(Applications[[#This Row],[Block ID]],Blocks[Block ID],Blocks[Area (ha)],"")))</f>
        <v/>
      </c>
      <c r="F121" s="33"/>
      <c r="G121" s="105" t="str">
        <f t="shared" si="3"/>
        <v/>
      </c>
      <c r="H121" s="33"/>
      <c r="I121" s="33"/>
      <c r="J121" s="33"/>
      <c r="K121" s="77"/>
      <c r="L121" s="33"/>
      <c r="M121" s="33"/>
      <c r="N121" s="23" t="str">
        <f t="shared" si="4"/>
        <v/>
      </c>
      <c r="O121" s="23">
        <f>Applications[[#This Row],[Nitrogen concentration in drain solution
 (ppm or mg/L)]]*Applications[[#This Row],[Volume of solution applied
(m3)]]/1000</f>
        <v>0</v>
      </c>
      <c r="P121" s="33"/>
      <c r="Q121" s="23" t="str">
        <f t="shared" si="5"/>
        <v/>
      </c>
      <c r="R121" s="98">
        <f>Applications[[#This Row],[Phosphorus concentration in drain solution
(ppm or mg/L)]]*Applications[[#This Row],[Volume of solution applied
(m3)]]/1000</f>
        <v>0</v>
      </c>
      <c r="S121" s="65"/>
      <c r="U121" s="99" t="str">
        <f>IF(Applications[[#This Row],[Date]]="","",Applications[[#This Row],[Date]])</f>
        <v/>
      </c>
      <c r="V121" s="18" t="str">
        <f>IF(Applications[[#This Row],[Volume of solution applied
(m3)]]="","",Applications[[#This Row],[Volume of solution applied
(m3)]])</f>
        <v/>
      </c>
      <c r="W121" s="18" t="str">
        <v/>
      </c>
      <c r="X121" s="18" t="str">
        <v/>
      </c>
      <c r="Y121" s="18">
        <v>0</v>
      </c>
      <c r="Z121" s="18">
        <v>0</v>
      </c>
    </row>
    <row r="122" spans="2:26" ht="35.1" customHeight="1" thickBot="1">
      <c r="B122" s="54">
        <v>117</v>
      </c>
      <c r="C122" s="32"/>
      <c r="D122" s="33"/>
      <c r="E122" s="104" t="str">
        <f>IF(Applications[[#This Row],[Block ID]]="","",(_xlfn.XLOOKUP(Applications[[#This Row],[Block ID]],Blocks[Block ID],Blocks[Area (ha)],"")))</f>
        <v/>
      </c>
      <c r="F122" s="33"/>
      <c r="G122" s="105" t="str">
        <f t="shared" si="3"/>
        <v/>
      </c>
      <c r="H122" s="33"/>
      <c r="I122" s="33"/>
      <c r="J122" s="33"/>
      <c r="K122" s="77"/>
      <c r="L122" s="33"/>
      <c r="M122" s="33"/>
      <c r="N122" s="23" t="str">
        <f t="shared" si="4"/>
        <v/>
      </c>
      <c r="O122" s="23">
        <f>Applications[[#This Row],[Nitrogen concentration in drain solution
 (ppm or mg/L)]]*Applications[[#This Row],[Volume of solution applied
(m3)]]/1000</f>
        <v>0</v>
      </c>
      <c r="P122" s="33"/>
      <c r="Q122" s="23" t="str">
        <f t="shared" si="5"/>
        <v/>
      </c>
      <c r="R122" s="98">
        <f>Applications[[#This Row],[Phosphorus concentration in drain solution
(ppm or mg/L)]]*Applications[[#This Row],[Volume of solution applied
(m3)]]/1000</f>
        <v>0</v>
      </c>
      <c r="S122" s="65"/>
      <c r="U122" s="99" t="str">
        <f>IF(Applications[[#This Row],[Date]]="","",Applications[[#This Row],[Date]])</f>
        <v/>
      </c>
      <c r="V122" s="18" t="str">
        <f>IF(Applications[[#This Row],[Volume of solution applied
(m3)]]="","",Applications[[#This Row],[Volume of solution applied
(m3)]])</f>
        <v/>
      </c>
      <c r="W122" s="18" t="str">
        <v/>
      </c>
      <c r="X122" s="18" t="str">
        <v/>
      </c>
      <c r="Y122" s="18">
        <v>0</v>
      </c>
      <c r="Z122" s="18">
        <v>0</v>
      </c>
    </row>
    <row r="123" spans="2:26" ht="35.1" customHeight="1" thickBot="1">
      <c r="B123" s="54">
        <v>118</v>
      </c>
      <c r="C123" s="32"/>
      <c r="D123" s="33"/>
      <c r="E123" s="104" t="str">
        <f>IF(Applications[[#This Row],[Block ID]]="","",(_xlfn.XLOOKUP(Applications[[#This Row],[Block ID]],Blocks[Block ID],Blocks[Area (ha)],"")))</f>
        <v/>
      </c>
      <c r="F123" s="33"/>
      <c r="G123" s="105" t="str">
        <f t="shared" si="3"/>
        <v/>
      </c>
      <c r="H123" s="33"/>
      <c r="I123" s="33"/>
      <c r="J123" s="33"/>
      <c r="K123" s="77"/>
      <c r="L123" s="33"/>
      <c r="M123" s="33"/>
      <c r="N123" s="23" t="str">
        <f t="shared" si="4"/>
        <v/>
      </c>
      <c r="O123" s="23">
        <f>Applications[[#This Row],[Nitrogen concentration in drain solution
 (ppm or mg/L)]]*Applications[[#This Row],[Volume of solution applied
(m3)]]/1000</f>
        <v>0</v>
      </c>
      <c r="P123" s="33"/>
      <c r="Q123" s="23" t="str">
        <f t="shared" si="5"/>
        <v/>
      </c>
      <c r="R123" s="98">
        <f>Applications[[#This Row],[Phosphorus concentration in drain solution
(ppm or mg/L)]]*Applications[[#This Row],[Volume of solution applied
(m3)]]/1000</f>
        <v>0</v>
      </c>
      <c r="S123" s="65"/>
      <c r="U123" s="99" t="str">
        <f>IF(Applications[[#This Row],[Date]]="","",Applications[[#This Row],[Date]])</f>
        <v/>
      </c>
      <c r="V123" s="18" t="str">
        <f>IF(Applications[[#This Row],[Volume of solution applied
(m3)]]="","",Applications[[#This Row],[Volume of solution applied
(m3)]])</f>
        <v/>
      </c>
      <c r="W123" s="18" t="str">
        <v/>
      </c>
      <c r="X123" s="18" t="str">
        <v/>
      </c>
      <c r="Y123" s="18">
        <v>0</v>
      </c>
      <c r="Z123" s="18">
        <v>0</v>
      </c>
    </row>
    <row r="124" spans="2:26" ht="35.1" customHeight="1" thickBot="1">
      <c r="B124" s="54">
        <v>119</v>
      </c>
      <c r="C124" s="32"/>
      <c r="D124" s="33"/>
      <c r="E124" s="104" t="str">
        <f>IF(Applications[[#This Row],[Block ID]]="","",(_xlfn.XLOOKUP(Applications[[#This Row],[Block ID]],Blocks[Block ID],Blocks[Area (ha)],"")))</f>
        <v/>
      </c>
      <c r="F124" s="33"/>
      <c r="G124" s="105" t="str">
        <f t="shared" si="3"/>
        <v/>
      </c>
      <c r="H124" s="33"/>
      <c r="I124" s="33"/>
      <c r="J124" s="33"/>
      <c r="K124" s="77"/>
      <c r="L124" s="33"/>
      <c r="M124" s="33"/>
      <c r="N124" s="23" t="str">
        <f t="shared" si="4"/>
        <v/>
      </c>
      <c r="O124" s="23">
        <f>Applications[[#This Row],[Nitrogen concentration in drain solution
 (ppm or mg/L)]]*Applications[[#This Row],[Volume of solution applied
(m3)]]/1000</f>
        <v>0</v>
      </c>
      <c r="P124" s="33"/>
      <c r="Q124" s="23" t="str">
        <f t="shared" si="5"/>
        <v/>
      </c>
      <c r="R124" s="98">
        <f>Applications[[#This Row],[Phosphorus concentration in drain solution
(ppm or mg/L)]]*Applications[[#This Row],[Volume of solution applied
(m3)]]/1000</f>
        <v>0</v>
      </c>
      <c r="S124" s="65"/>
      <c r="U124" s="99" t="str">
        <f>IF(Applications[[#This Row],[Date]]="","",Applications[[#This Row],[Date]])</f>
        <v/>
      </c>
      <c r="V124" s="18" t="str">
        <f>IF(Applications[[#This Row],[Volume of solution applied
(m3)]]="","",Applications[[#This Row],[Volume of solution applied
(m3)]])</f>
        <v/>
      </c>
      <c r="W124" s="18" t="str">
        <v/>
      </c>
      <c r="X124" s="18" t="str">
        <v/>
      </c>
      <c r="Y124" s="18">
        <v>0</v>
      </c>
      <c r="Z124" s="18">
        <v>0</v>
      </c>
    </row>
    <row r="125" spans="2:26" ht="35.1" customHeight="1" thickBot="1">
      <c r="B125" s="54">
        <v>120</v>
      </c>
      <c r="C125" s="32"/>
      <c r="D125" s="33"/>
      <c r="E125" s="104" t="str">
        <f>IF(Applications[[#This Row],[Block ID]]="","",(_xlfn.XLOOKUP(Applications[[#This Row],[Block ID]],Blocks[Block ID],Blocks[Area (ha)],"")))</f>
        <v/>
      </c>
      <c r="F125" s="33"/>
      <c r="G125" s="105" t="str">
        <f t="shared" si="3"/>
        <v/>
      </c>
      <c r="H125" s="33"/>
      <c r="I125" s="33"/>
      <c r="J125" s="33"/>
      <c r="K125" s="77"/>
      <c r="L125" s="33"/>
      <c r="M125" s="33"/>
      <c r="N125" s="23" t="str">
        <f t="shared" si="4"/>
        <v/>
      </c>
      <c r="O125" s="23">
        <f>Applications[[#This Row],[Nitrogen concentration in drain solution
 (ppm or mg/L)]]*Applications[[#This Row],[Volume of solution applied
(m3)]]/1000</f>
        <v>0</v>
      </c>
      <c r="P125" s="33"/>
      <c r="Q125" s="23" t="str">
        <f t="shared" si="5"/>
        <v/>
      </c>
      <c r="R125" s="98">
        <f>Applications[[#This Row],[Phosphorus concentration in drain solution
(ppm or mg/L)]]*Applications[[#This Row],[Volume of solution applied
(m3)]]/1000</f>
        <v>0</v>
      </c>
      <c r="S125" s="65"/>
      <c r="U125" s="99" t="str">
        <f>IF(Applications[[#This Row],[Date]]="","",Applications[[#This Row],[Date]])</f>
        <v/>
      </c>
      <c r="V125" s="18" t="str">
        <f>IF(Applications[[#This Row],[Volume of solution applied
(m3)]]="","",Applications[[#This Row],[Volume of solution applied
(m3)]])</f>
        <v/>
      </c>
      <c r="W125" s="18" t="str">
        <v/>
      </c>
      <c r="X125" s="18" t="str">
        <v/>
      </c>
      <c r="Y125" s="18">
        <v>0</v>
      </c>
      <c r="Z125" s="18">
        <v>0</v>
      </c>
    </row>
    <row r="126" spans="2:26" ht="35.1" customHeight="1" thickBot="1">
      <c r="B126" s="54">
        <v>121</v>
      </c>
      <c r="C126" s="32"/>
      <c r="D126" s="33"/>
      <c r="E126" s="104" t="str">
        <f>IF(Applications[[#This Row],[Block ID]]="","",(_xlfn.XLOOKUP(Applications[[#This Row],[Block ID]],Blocks[Block ID],Blocks[Area (ha)],"")))</f>
        <v/>
      </c>
      <c r="F126" s="33"/>
      <c r="G126" s="105" t="str">
        <f t="shared" si="3"/>
        <v/>
      </c>
      <c r="H126" s="33"/>
      <c r="I126" s="33"/>
      <c r="J126" s="33"/>
      <c r="K126" s="77"/>
      <c r="L126" s="33"/>
      <c r="M126" s="33"/>
      <c r="N126" s="23" t="str">
        <f t="shared" si="4"/>
        <v/>
      </c>
      <c r="O126" s="23">
        <f>Applications[[#This Row],[Nitrogen concentration in drain solution
 (ppm or mg/L)]]*Applications[[#This Row],[Volume of solution applied
(m3)]]/1000</f>
        <v>0</v>
      </c>
      <c r="P126" s="33"/>
      <c r="Q126" s="23" t="str">
        <f t="shared" si="5"/>
        <v/>
      </c>
      <c r="R126" s="98">
        <f>Applications[[#This Row],[Phosphorus concentration in drain solution
(ppm or mg/L)]]*Applications[[#This Row],[Volume of solution applied
(m3)]]/1000</f>
        <v>0</v>
      </c>
      <c r="S126" s="65"/>
      <c r="U126" s="99" t="str">
        <f>IF(Applications[[#This Row],[Date]]="","",Applications[[#This Row],[Date]])</f>
        <v/>
      </c>
      <c r="V126" s="18" t="str">
        <f>IF(Applications[[#This Row],[Volume of solution applied
(m3)]]="","",Applications[[#This Row],[Volume of solution applied
(m3)]])</f>
        <v/>
      </c>
      <c r="W126" s="18" t="str">
        <v/>
      </c>
      <c r="X126" s="18" t="str">
        <v/>
      </c>
      <c r="Y126" s="18">
        <v>0</v>
      </c>
      <c r="Z126" s="18">
        <v>0</v>
      </c>
    </row>
    <row r="127" spans="2:26" ht="35.1" customHeight="1" thickBot="1">
      <c r="B127" s="54">
        <v>122</v>
      </c>
      <c r="C127" s="32"/>
      <c r="D127" s="33"/>
      <c r="E127" s="104" t="str">
        <f>IF(Applications[[#This Row],[Block ID]]="","",(_xlfn.XLOOKUP(Applications[[#This Row],[Block ID]],Blocks[Block ID],Blocks[Area (ha)],"")))</f>
        <v/>
      </c>
      <c r="F127" s="33"/>
      <c r="G127" s="105" t="str">
        <f t="shared" si="3"/>
        <v/>
      </c>
      <c r="H127" s="33"/>
      <c r="I127" s="33"/>
      <c r="J127" s="33"/>
      <c r="K127" s="77"/>
      <c r="L127" s="33"/>
      <c r="M127" s="33"/>
      <c r="N127" s="23" t="str">
        <f t="shared" si="4"/>
        <v/>
      </c>
      <c r="O127" s="23">
        <f>Applications[[#This Row],[Nitrogen concentration in drain solution
 (ppm or mg/L)]]*Applications[[#This Row],[Volume of solution applied
(m3)]]/1000</f>
        <v>0</v>
      </c>
      <c r="P127" s="33"/>
      <c r="Q127" s="23" t="str">
        <f t="shared" si="5"/>
        <v/>
      </c>
      <c r="R127" s="98">
        <f>Applications[[#This Row],[Phosphorus concentration in drain solution
(ppm or mg/L)]]*Applications[[#This Row],[Volume of solution applied
(m3)]]/1000</f>
        <v>0</v>
      </c>
      <c r="S127" s="65"/>
      <c r="U127" s="99" t="str">
        <f>IF(Applications[[#This Row],[Date]]="","",Applications[[#This Row],[Date]])</f>
        <v/>
      </c>
      <c r="V127" s="18" t="str">
        <f>IF(Applications[[#This Row],[Volume of solution applied
(m3)]]="","",Applications[[#This Row],[Volume of solution applied
(m3)]])</f>
        <v/>
      </c>
      <c r="W127" s="18" t="str">
        <v/>
      </c>
      <c r="X127" s="18" t="str">
        <v/>
      </c>
      <c r="Y127" s="18">
        <v>0</v>
      </c>
      <c r="Z127" s="18">
        <v>0</v>
      </c>
    </row>
    <row r="128" spans="2:26" ht="35.1" customHeight="1" thickBot="1">
      <c r="B128" s="54">
        <v>123</v>
      </c>
      <c r="C128" s="32"/>
      <c r="D128" s="33"/>
      <c r="E128" s="104" t="str">
        <f>IF(Applications[[#This Row],[Block ID]]="","",(_xlfn.XLOOKUP(Applications[[#This Row],[Block ID]],Blocks[Block ID],Blocks[Area (ha)],"")))</f>
        <v/>
      </c>
      <c r="F128" s="33"/>
      <c r="G128" s="105" t="str">
        <f t="shared" si="3"/>
        <v/>
      </c>
      <c r="H128" s="33"/>
      <c r="I128" s="33"/>
      <c r="J128" s="33"/>
      <c r="K128" s="77"/>
      <c r="L128" s="33"/>
      <c r="M128" s="33"/>
      <c r="N128" s="23" t="str">
        <f t="shared" si="4"/>
        <v/>
      </c>
      <c r="O128" s="23">
        <f>Applications[[#This Row],[Nitrogen concentration in drain solution
 (ppm or mg/L)]]*Applications[[#This Row],[Volume of solution applied
(m3)]]/1000</f>
        <v>0</v>
      </c>
      <c r="P128" s="33"/>
      <c r="Q128" s="23" t="str">
        <f t="shared" si="5"/>
        <v/>
      </c>
      <c r="R128" s="98">
        <f>Applications[[#This Row],[Phosphorus concentration in drain solution
(ppm or mg/L)]]*Applications[[#This Row],[Volume of solution applied
(m3)]]/1000</f>
        <v>0</v>
      </c>
      <c r="S128" s="65"/>
      <c r="U128" s="99" t="str">
        <f>IF(Applications[[#This Row],[Date]]="","",Applications[[#This Row],[Date]])</f>
        <v/>
      </c>
      <c r="V128" s="18" t="str">
        <f>IF(Applications[[#This Row],[Volume of solution applied
(m3)]]="","",Applications[[#This Row],[Volume of solution applied
(m3)]])</f>
        <v/>
      </c>
      <c r="W128" s="18" t="str">
        <v/>
      </c>
      <c r="X128" s="18" t="str">
        <v/>
      </c>
      <c r="Y128" s="18">
        <v>0</v>
      </c>
      <c r="Z128" s="18">
        <v>0</v>
      </c>
    </row>
    <row r="129" spans="2:26" ht="35.1" customHeight="1" thickBot="1">
      <c r="B129" s="54">
        <v>124</v>
      </c>
      <c r="C129" s="32"/>
      <c r="D129" s="33"/>
      <c r="E129" s="104" t="str">
        <f>IF(Applications[[#This Row],[Block ID]]="","",(_xlfn.XLOOKUP(Applications[[#This Row],[Block ID]],Blocks[Block ID],Blocks[Area (ha)],"")))</f>
        <v/>
      </c>
      <c r="F129" s="33"/>
      <c r="G129" s="105" t="str">
        <f t="shared" si="3"/>
        <v/>
      </c>
      <c r="H129" s="33"/>
      <c r="I129" s="33"/>
      <c r="J129" s="33"/>
      <c r="K129" s="77"/>
      <c r="L129" s="33"/>
      <c r="M129" s="33"/>
      <c r="N129" s="23" t="str">
        <f t="shared" si="4"/>
        <v/>
      </c>
      <c r="O129" s="23">
        <f>Applications[[#This Row],[Nitrogen concentration in drain solution
 (ppm or mg/L)]]*Applications[[#This Row],[Volume of solution applied
(m3)]]/1000</f>
        <v>0</v>
      </c>
      <c r="P129" s="33"/>
      <c r="Q129" s="23" t="str">
        <f t="shared" si="5"/>
        <v/>
      </c>
      <c r="R129" s="98">
        <f>Applications[[#This Row],[Phosphorus concentration in drain solution
(ppm or mg/L)]]*Applications[[#This Row],[Volume of solution applied
(m3)]]/1000</f>
        <v>0</v>
      </c>
      <c r="S129" s="65"/>
      <c r="U129" s="99" t="str">
        <f>IF(Applications[[#This Row],[Date]]="","",Applications[[#This Row],[Date]])</f>
        <v/>
      </c>
      <c r="V129" s="18" t="str">
        <f>IF(Applications[[#This Row],[Volume of solution applied
(m3)]]="","",Applications[[#This Row],[Volume of solution applied
(m3)]])</f>
        <v/>
      </c>
      <c r="W129" s="18" t="str">
        <v/>
      </c>
      <c r="X129" s="18" t="str">
        <v/>
      </c>
      <c r="Y129" s="18">
        <v>0</v>
      </c>
      <c r="Z129" s="18">
        <v>0</v>
      </c>
    </row>
    <row r="130" spans="2:26" ht="35.1" customHeight="1" thickBot="1">
      <c r="B130" s="54">
        <v>125</v>
      </c>
      <c r="C130" s="32"/>
      <c r="D130" s="33"/>
      <c r="E130" s="104" t="str">
        <f>IF(Applications[[#This Row],[Block ID]]="","",(_xlfn.XLOOKUP(Applications[[#This Row],[Block ID]],Blocks[Block ID],Blocks[Area (ha)],"")))</f>
        <v/>
      </c>
      <c r="F130" s="33"/>
      <c r="G130" s="105" t="str">
        <f t="shared" si="3"/>
        <v/>
      </c>
      <c r="H130" s="33"/>
      <c r="I130" s="33"/>
      <c r="J130" s="33"/>
      <c r="K130" s="77"/>
      <c r="L130" s="33"/>
      <c r="M130" s="33"/>
      <c r="N130" s="23" t="str">
        <f t="shared" si="4"/>
        <v/>
      </c>
      <c r="O130" s="23">
        <f>Applications[[#This Row],[Nitrogen concentration in drain solution
 (ppm or mg/L)]]*Applications[[#This Row],[Volume of solution applied
(m3)]]/1000</f>
        <v>0</v>
      </c>
      <c r="P130" s="33"/>
      <c r="Q130" s="23" t="str">
        <f t="shared" si="5"/>
        <v/>
      </c>
      <c r="R130" s="98">
        <f>Applications[[#This Row],[Phosphorus concentration in drain solution
(ppm or mg/L)]]*Applications[[#This Row],[Volume of solution applied
(m3)]]/1000</f>
        <v>0</v>
      </c>
      <c r="S130" s="65"/>
      <c r="U130" s="99" t="str">
        <f>IF(Applications[[#This Row],[Date]]="","",Applications[[#This Row],[Date]])</f>
        <v/>
      </c>
      <c r="V130" s="18" t="str">
        <f>IF(Applications[[#This Row],[Volume of solution applied
(m3)]]="","",Applications[[#This Row],[Volume of solution applied
(m3)]])</f>
        <v/>
      </c>
      <c r="W130" s="18" t="str">
        <v/>
      </c>
      <c r="X130" s="18" t="str">
        <v/>
      </c>
      <c r="Y130" s="18">
        <v>0</v>
      </c>
      <c r="Z130" s="18">
        <v>0</v>
      </c>
    </row>
    <row r="131" spans="2:26" ht="35.1" customHeight="1" thickBot="1">
      <c r="B131" s="54">
        <v>126</v>
      </c>
      <c r="C131" s="32"/>
      <c r="D131" s="33"/>
      <c r="E131" s="104" t="str">
        <f>IF(Applications[[#This Row],[Block ID]]="","",(_xlfn.XLOOKUP(Applications[[#This Row],[Block ID]],Blocks[Block ID],Blocks[Area (ha)],"")))</f>
        <v/>
      </c>
      <c r="F131" s="33"/>
      <c r="G131" s="105" t="str">
        <f t="shared" si="3"/>
        <v/>
      </c>
      <c r="H131" s="33"/>
      <c r="I131" s="33"/>
      <c r="J131" s="33"/>
      <c r="K131" s="77"/>
      <c r="L131" s="33"/>
      <c r="M131" s="33"/>
      <c r="N131" s="23" t="str">
        <f t="shared" si="4"/>
        <v/>
      </c>
      <c r="O131" s="23">
        <f>Applications[[#This Row],[Nitrogen concentration in drain solution
 (ppm or mg/L)]]*Applications[[#This Row],[Volume of solution applied
(m3)]]/1000</f>
        <v>0</v>
      </c>
      <c r="P131" s="33"/>
      <c r="Q131" s="23" t="str">
        <f t="shared" si="5"/>
        <v/>
      </c>
      <c r="R131" s="98">
        <f>Applications[[#This Row],[Phosphorus concentration in drain solution
(ppm or mg/L)]]*Applications[[#This Row],[Volume of solution applied
(m3)]]/1000</f>
        <v>0</v>
      </c>
      <c r="S131" s="65"/>
      <c r="U131" s="99" t="str">
        <f>IF(Applications[[#This Row],[Date]]="","",Applications[[#This Row],[Date]])</f>
        <v/>
      </c>
      <c r="V131" s="18" t="str">
        <f>IF(Applications[[#This Row],[Volume of solution applied
(m3)]]="","",Applications[[#This Row],[Volume of solution applied
(m3)]])</f>
        <v/>
      </c>
      <c r="W131" s="18" t="str">
        <v/>
      </c>
      <c r="X131" s="18" t="str">
        <v/>
      </c>
      <c r="Y131" s="18">
        <v>0</v>
      </c>
      <c r="Z131" s="18">
        <v>0</v>
      </c>
    </row>
    <row r="132" spans="2:26" ht="35.1" customHeight="1" thickBot="1">
      <c r="B132" s="54">
        <v>127</v>
      </c>
      <c r="C132" s="32"/>
      <c r="D132" s="33"/>
      <c r="E132" s="104" t="str">
        <f>IF(Applications[[#This Row],[Block ID]]="","",(_xlfn.XLOOKUP(Applications[[#This Row],[Block ID]],Blocks[Block ID],Blocks[Area (ha)],"")))</f>
        <v/>
      </c>
      <c r="F132" s="33"/>
      <c r="G132" s="105" t="str">
        <f t="shared" si="3"/>
        <v/>
      </c>
      <c r="H132" s="33"/>
      <c r="I132" s="33"/>
      <c r="J132" s="33"/>
      <c r="K132" s="77"/>
      <c r="L132" s="33"/>
      <c r="M132" s="33"/>
      <c r="N132" s="23" t="str">
        <f t="shared" si="4"/>
        <v/>
      </c>
      <c r="O132" s="23">
        <f>Applications[[#This Row],[Nitrogen concentration in drain solution
 (ppm or mg/L)]]*Applications[[#This Row],[Volume of solution applied
(m3)]]/1000</f>
        <v>0</v>
      </c>
      <c r="P132" s="33"/>
      <c r="Q132" s="23" t="str">
        <f t="shared" si="5"/>
        <v/>
      </c>
      <c r="R132" s="98">
        <f>Applications[[#This Row],[Phosphorus concentration in drain solution
(ppm or mg/L)]]*Applications[[#This Row],[Volume of solution applied
(m3)]]/1000</f>
        <v>0</v>
      </c>
      <c r="S132" s="65"/>
      <c r="U132" s="99" t="str">
        <f>IF(Applications[[#This Row],[Date]]="","",Applications[[#This Row],[Date]])</f>
        <v/>
      </c>
      <c r="V132" s="18" t="str">
        <f>IF(Applications[[#This Row],[Volume of solution applied
(m3)]]="","",Applications[[#This Row],[Volume of solution applied
(m3)]])</f>
        <v/>
      </c>
      <c r="W132" s="18" t="str">
        <v/>
      </c>
      <c r="X132" s="18" t="str">
        <v/>
      </c>
      <c r="Y132" s="18">
        <v>0</v>
      </c>
      <c r="Z132" s="18">
        <v>0</v>
      </c>
    </row>
    <row r="133" spans="2:26" ht="35.1" customHeight="1" thickBot="1">
      <c r="B133" s="54">
        <v>128</v>
      </c>
      <c r="C133" s="32"/>
      <c r="D133" s="33"/>
      <c r="E133" s="104" t="str">
        <f>IF(Applications[[#This Row],[Block ID]]="","",(_xlfn.XLOOKUP(Applications[[#This Row],[Block ID]],Blocks[Block ID],Blocks[Area (ha)],"")))</f>
        <v/>
      </c>
      <c r="F133" s="33"/>
      <c r="G133" s="105" t="str">
        <f t="shared" si="3"/>
        <v/>
      </c>
      <c r="H133" s="33"/>
      <c r="I133" s="33"/>
      <c r="J133" s="33"/>
      <c r="K133" s="77"/>
      <c r="L133" s="33"/>
      <c r="M133" s="33"/>
      <c r="N133" s="23" t="str">
        <f t="shared" si="4"/>
        <v/>
      </c>
      <c r="O133" s="23">
        <f>Applications[[#This Row],[Nitrogen concentration in drain solution
 (ppm or mg/L)]]*Applications[[#This Row],[Volume of solution applied
(m3)]]/1000</f>
        <v>0</v>
      </c>
      <c r="P133" s="33"/>
      <c r="Q133" s="23" t="str">
        <f t="shared" si="5"/>
        <v/>
      </c>
      <c r="R133" s="98">
        <f>Applications[[#This Row],[Phosphorus concentration in drain solution
(ppm or mg/L)]]*Applications[[#This Row],[Volume of solution applied
(m3)]]/1000</f>
        <v>0</v>
      </c>
      <c r="S133" s="65"/>
      <c r="U133" s="99" t="str">
        <f>IF(Applications[[#This Row],[Date]]="","",Applications[[#This Row],[Date]])</f>
        <v/>
      </c>
      <c r="V133" s="18" t="str">
        <f>IF(Applications[[#This Row],[Volume of solution applied
(m3)]]="","",Applications[[#This Row],[Volume of solution applied
(m3)]])</f>
        <v/>
      </c>
      <c r="W133" s="18" t="str">
        <v/>
      </c>
      <c r="X133" s="18" t="str">
        <v/>
      </c>
      <c r="Y133" s="18">
        <v>0</v>
      </c>
      <c r="Z133" s="18">
        <v>0</v>
      </c>
    </row>
    <row r="134" spans="2:26" ht="35.1" customHeight="1" thickBot="1">
      <c r="B134" s="54">
        <v>129</v>
      </c>
      <c r="C134" s="32"/>
      <c r="D134" s="33"/>
      <c r="E134" s="104" t="str">
        <f>IF(Applications[[#This Row],[Block ID]]="","",(_xlfn.XLOOKUP(Applications[[#This Row],[Block ID]],Blocks[Block ID],Blocks[Area (ha)],"")))</f>
        <v/>
      </c>
      <c r="F134" s="33"/>
      <c r="G134" s="105" t="str">
        <f t="shared" ref="G134:G197" si="6">IFERROR((IF(F134="","",((F134*1000)/(E134*10000)))),"")</f>
        <v/>
      </c>
      <c r="H134" s="33"/>
      <c r="I134" s="33"/>
      <c r="J134" s="33"/>
      <c r="K134" s="77"/>
      <c r="L134" s="33"/>
      <c r="M134" s="33"/>
      <c r="N134" s="23" t="str">
        <f t="shared" ref="N134:N197" si="7">IFERROR((L134*M134/1000/E134),"")</f>
        <v/>
      </c>
      <c r="O134" s="23">
        <f>Applications[[#This Row],[Nitrogen concentration in drain solution
 (ppm or mg/L)]]*Applications[[#This Row],[Volume of solution applied
(m3)]]/1000</f>
        <v>0</v>
      </c>
      <c r="P134" s="33"/>
      <c r="Q134" s="23" t="str">
        <f t="shared" ref="Q134:Q197" si="8">IFERROR((L134*P134/1000/E134),"")</f>
        <v/>
      </c>
      <c r="R134" s="98">
        <f>Applications[[#This Row],[Phosphorus concentration in drain solution
(ppm or mg/L)]]*Applications[[#This Row],[Volume of solution applied
(m3)]]/1000</f>
        <v>0</v>
      </c>
      <c r="S134" s="65"/>
      <c r="U134" s="99" t="str">
        <f>IF(Applications[[#This Row],[Date]]="","",Applications[[#This Row],[Date]])</f>
        <v/>
      </c>
      <c r="V134" s="18" t="str">
        <f>IF(Applications[[#This Row],[Volume of solution applied
(m3)]]="","",Applications[[#This Row],[Volume of solution applied
(m3)]])</f>
        <v/>
      </c>
      <c r="W134" s="18" t="str">
        <v/>
      </c>
      <c r="X134" s="18" t="str">
        <v/>
      </c>
      <c r="Y134" s="18">
        <v>0</v>
      </c>
      <c r="Z134" s="18">
        <v>0</v>
      </c>
    </row>
    <row r="135" spans="2:26" ht="35.1" customHeight="1" thickBot="1">
      <c r="B135" s="54">
        <v>130</v>
      </c>
      <c r="C135" s="32"/>
      <c r="D135" s="33"/>
      <c r="E135" s="104" t="str">
        <f>IF(Applications[[#This Row],[Block ID]]="","",(_xlfn.XLOOKUP(Applications[[#This Row],[Block ID]],Blocks[Block ID],Blocks[Area (ha)],"")))</f>
        <v/>
      </c>
      <c r="F135" s="33"/>
      <c r="G135" s="105" t="str">
        <f t="shared" si="6"/>
        <v/>
      </c>
      <c r="H135" s="33"/>
      <c r="I135" s="33"/>
      <c r="J135" s="33"/>
      <c r="K135" s="77"/>
      <c r="L135" s="33"/>
      <c r="M135" s="33"/>
      <c r="N135" s="23" t="str">
        <f t="shared" si="7"/>
        <v/>
      </c>
      <c r="O135" s="23">
        <f>Applications[[#This Row],[Nitrogen concentration in drain solution
 (ppm or mg/L)]]*Applications[[#This Row],[Volume of solution applied
(m3)]]/1000</f>
        <v>0</v>
      </c>
      <c r="P135" s="33"/>
      <c r="Q135" s="23" t="str">
        <f t="shared" si="8"/>
        <v/>
      </c>
      <c r="R135" s="98">
        <f>Applications[[#This Row],[Phosphorus concentration in drain solution
(ppm or mg/L)]]*Applications[[#This Row],[Volume of solution applied
(m3)]]/1000</f>
        <v>0</v>
      </c>
      <c r="S135" s="65"/>
      <c r="U135" s="99" t="str">
        <f>IF(Applications[[#This Row],[Date]]="","",Applications[[#This Row],[Date]])</f>
        <v/>
      </c>
      <c r="V135" s="18" t="str">
        <f>IF(Applications[[#This Row],[Volume of solution applied
(m3)]]="","",Applications[[#This Row],[Volume of solution applied
(m3)]])</f>
        <v/>
      </c>
      <c r="W135" s="18" t="str">
        <v/>
      </c>
      <c r="X135" s="18" t="str">
        <v/>
      </c>
      <c r="Y135" s="18">
        <v>0</v>
      </c>
      <c r="Z135" s="18">
        <v>0</v>
      </c>
    </row>
    <row r="136" spans="2:26" ht="35.1" customHeight="1" thickBot="1">
      <c r="B136" s="54">
        <v>131</v>
      </c>
      <c r="C136" s="32"/>
      <c r="D136" s="33"/>
      <c r="E136" s="104" t="str">
        <f>IF(Applications[[#This Row],[Block ID]]="","",(_xlfn.XLOOKUP(Applications[[#This Row],[Block ID]],Blocks[Block ID],Blocks[Area (ha)],"")))</f>
        <v/>
      </c>
      <c r="F136" s="33"/>
      <c r="G136" s="105" t="str">
        <f t="shared" si="6"/>
        <v/>
      </c>
      <c r="H136" s="33"/>
      <c r="I136" s="33"/>
      <c r="J136" s="33"/>
      <c r="K136" s="77"/>
      <c r="L136" s="33"/>
      <c r="M136" s="33"/>
      <c r="N136" s="23" t="str">
        <f t="shared" si="7"/>
        <v/>
      </c>
      <c r="O136" s="23">
        <f>Applications[[#This Row],[Nitrogen concentration in drain solution
 (ppm or mg/L)]]*Applications[[#This Row],[Volume of solution applied
(m3)]]/1000</f>
        <v>0</v>
      </c>
      <c r="P136" s="33"/>
      <c r="Q136" s="23" t="str">
        <f t="shared" si="8"/>
        <v/>
      </c>
      <c r="R136" s="98">
        <f>Applications[[#This Row],[Phosphorus concentration in drain solution
(ppm or mg/L)]]*Applications[[#This Row],[Volume of solution applied
(m3)]]/1000</f>
        <v>0</v>
      </c>
      <c r="S136" s="65"/>
      <c r="U136" s="99" t="str">
        <f>IF(Applications[[#This Row],[Date]]="","",Applications[[#This Row],[Date]])</f>
        <v/>
      </c>
      <c r="V136" s="18" t="str">
        <f>IF(Applications[[#This Row],[Volume of solution applied
(m3)]]="","",Applications[[#This Row],[Volume of solution applied
(m3)]])</f>
        <v/>
      </c>
      <c r="W136" s="18" t="str">
        <v/>
      </c>
      <c r="X136" s="18" t="str">
        <v/>
      </c>
      <c r="Y136" s="18">
        <v>0</v>
      </c>
      <c r="Z136" s="18">
        <v>0</v>
      </c>
    </row>
    <row r="137" spans="2:26" ht="35.1" customHeight="1" thickBot="1">
      <c r="B137" s="54">
        <v>132</v>
      </c>
      <c r="C137" s="32"/>
      <c r="D137" s="33"/>
      <c r="E137" s="104" t="str">
        <f>IF(Applications[[#This Row],[Block ID]]="","",(_xlfn.XLOOKUP(Applications[[#This Row],[Block ID]],Blocks[Block ID],Blocks[Area (ha)],"")))</f>
        <v/>
      </c>
      <c r="F137" s="33"/>
      <c r="G137" s="105" t="str">
        <f t="shared" si="6"/>
        <v/>
      </c>
      <c r="H137" s="33"/>
      <c r="I137" s="33"/>
      <c r="J137" s="33"/>
      <c r="K137" s="77"/>
      <c r="L137" s="33"/>
      <c r="M137" s="33"/>
      <c r="N137" s="23" t="str">
        <f t="shared" si="7"/>
        <v/>
      </c>
      <c r="O137" s="23">
        <f>Applications[[#This Row],[Nitrogen concentration in drain solution
 (ppm or mg/L)]]*Applications[[#This Row],[Volume of solution applied
(m3)]]/1000</f>
        <v>0</v>
      </c>
      <c r="P137" s="33"/>
      <c r="Q137" s="23" t="str">
        <f t="shared" si="8"/>
        <v/>
      </c>
      <c r="R137" s="98">
        <f>Applications[[#This Row],[Phosphorus concentration in drain solution
(ppm or mg/L)]]*Applications[[#This Row],[Volume of solution applied
(m3)]]/1000</f>
        <v>0</v>
      </c>
      <c r="S137" s="65"/>
      <c r="U137" s="99" t="str">
        <f>IF(Applications[[#This Row],[Date]]="","",Applications[[#This Row],[Date]])</f>
        <v/>
      </c>
      <c r="V137" s="18" t="str">
        <f>IF(Applications[[#This Row],[Volume of solution applied
(m3)]]="","",Applications[[#This Row],[Volume of solution applied
(m3)]])</f>
        <v/>
      </c>
      <c r="W137" s="18" t="str">
        <v/>
      </c>
      <c r="X137" s="18" t="str">
        <v/>
      </c>
      <c r="Y137" s="18">
        <v>0</v>
      </c>
      <c r="Z137" s="18">
        <v>0</v>
      </c>
    </row>
    <row r="138" spans="2:26" ht="35.1" customHeight="1" thickBot="1">
      <c r="B138" s="54">
        <v>133</v>
      </c>
      <c r="C138" s="32"/>
      <c r="D138" s="33"/>
      <c r="E138" s="104" t="str">
        <f>IF(Applications[[#This Row],[Block ID]]="","",(_xlfn.XLOOKUP(Applications[[#This Row],[Block ID]],Blocks[Block ID],Blocks[Area (ha)],"")))</f>
        <v/>
      </c>
      <c r="F138" s="33"/>
      <c r="G138" s="105" t="str">
        <f t="shared" si="6"/>
        <v/>
      </c>
      <c r="H138" s="33"/>
      <c r="I138" s="33"/>
      <c r="J138" s="33"/>
      <c r="K138" s="77"/>
      <c r="L138" s="33"/>
      <c r="M138" s="33"/>
      <c r="N138" s="23" t="str">
        <f t="shared" si="7"/>
        <v/>
      </c>
      <c r="O138" s="23">
        <f>Applications[[#This Row],[Nitrogen concentration in drain solution
 (ppm or mg/L)]]*Applications[[#This Row],[Volume of solution applied
(m3)]]/1000</f>
        <v>0</v>
      </c>
      <c r="P138" s="33"/>
      <c r="Q138" s="23" t="str">
        <f t="shared" si="8"/>
        <v/>
      </c>
      <c r="R138" s="98">
        <f>Applications[[#This Row],[Phosphorus concentration in drain solution
(ppm or mg/L)]]*Applications[[#This Row],[Volume of solution applied
(m3)]]/1000</f>
        <v>0</v>
      </c>
      <c r="S138" s="65"/>
      <c r="U138" s="99" t="str">
        <f>IF(Applications[[#This Row],[Date]]="","",Applications[[#This Row],[Date]])</f>
        <v/>
      </c>
      <c r="V138" s="18" t="str">
        <f>IF(Applications[[#This Row],[Volume of solution applied
(m3)]]="","",Applications[[#This Row],[Volume of solution applied
(m3)]])</f>
        <v/>
      </c>
      <c r="W138" s="18" t="str">
        <v/>
      </c>
      <c r="X138" s="18" t="str">
        <v/>
      </c>
      <c r="Y138" s="18">
        <v>0</v>
      </c>
      <c r="Z138" s="18">
        <v>0</v>
      </c>
    </row>
    <row r="139" spans="2:26" ht="35.1" customHeight="1" thickBot="1">
      <c r="B139" s="54">
        <v>134</v>
      </c>
      <c r="C139" s="32"/>
      <c r="D139" s="33"/>
      <c r="E139" s="104" t="str">
        <f>IF(Applications[[#This Row],[Block ID]]="","",(_xlfn.XLOOKUP(Applications[[#This Row],[Block ID]],Blocks[Block ID],Blocks[Area (ha)],"")))</f>
        <v/>
      </c>
      <c r="F139" s="33"/>
      <c r="G139" s="105" t="str">
        <f t="shared" si="6"/>
        <v/>
      </c>
      <c r="H139" s="33"/>
      <c r="I139" s="33"/>
      <c r="J139" s="33"/>
      <c r="K139" s="77"/>
      <c r="L139" s="33"/>
      <c r="M139" s="33"/>
      <c r="N139" s="23" t="str">
        <f t="shared" si="7"/>
        <v/>
      </c>
      <c r="O139" s="23">
        <f>Applications[[#This Row],[Nitrogen concentration in drain solution
 (ppm or mg/L)]]*Applications[[#This Row],[Volume of solution applied
(m3)]]/1000</f>
        <v>0</v>
      </c>
      <c r="P139" s="33"/>
      <c r="Q139" s="23" t="str">
        <f t="shared" si="8"/>
        <v/>
      </c>
      <c r="R139" s="98">
        <f>Applications[[#This Row],[Phosphorus concentration in drain solution
(ppm or mg/L)]]*Applications[[#This Row],[Volume of solution applied
(m3)]]/1000</f>
        <v>0</v>
      </c>
      <c r="S139" s="65"/>
      <c r="U139" s="99" t="str">
        <f>IF(Applications[[#This Row],[Date]]="","",Applications[[#This Row],[Date]])</f>
        <v/>
      </c>
      <c r="V139" s="18" t="str">
        <f>IF(Applications[[#This Row],[Volume of solution applied
(m3)]]="","",Applications[[#This Row],[Volume of solution applied
(m3)]])</f>
        <v/>
      </c>
      <c r="W139" s="18" t="str">
        <v/>
      </c>
      <c r="X139" s="18" t="str">
        <v/>
      </c>
      <c r="Y139" s="18">
        <v>0</v>
      </c>
      <c r="Z139" s="18">
        <v>0</v>
      </c>
    </row>
    <row r="140" spans="2:26" ht="35.1" customHeight="1" thickBot="1">
      <c r="B140" s="54">
        <v>135</v>
      </c>
      <c r="C140" s="32"/>
      <c r="D140" s="33"/>
      <c r="E140" s="104" t="str">
        <f>IF(Applications[[#This Row],[Block ID]]="","",(_xlfn.XLOOKUP(Applications[[#This Row],[Block ID]],Blocks[Block ID],Blocks[Area (ha)],"")))</f>
        <v/>
      </c>
      <c r="F140" s="33"/>
      <c r="G140" s="105" t="str">
        <f t="shared" si="6"/>
        <v/>
      </c>
      <c r="H140" s="33"/>
      <c r="I140" s="33"/>
      <c r="J140" s="33"/>
      <c r="K140" s="77"/>
      <c r="L140" s="33"/>
      <c r="M140" s="33"/>
      <c r="N140" s="23" t="str">
        <f t="shared" si="7"/>
        <v/>
      </c>
      <c r="O140" s="23">
        <f>Applications[[#This Row],[Nitrogen concentration in drain solution
 (ppm or mg/L)]]*Applications[[#This Row],[Volume of solution applied
(m3)]]/1000</f>
        <v>0</v>
      </c>
      <c r="P140" s="33"/>
      <c r="Q140" s="23" t="str">
        <f t="shared" si="8"/>
        <v/>
      </c>
      <c r="R140" s="98">
        <f>Applications[[#This Row],[Phosphorus concentration in drain solution
(ppm or mg/L)]]*Applications[[#This Row],[Volume of solution applied
(m3)]]/1000</f>
        <v>0</v>
      </c>
      <c r="S140" s="65"/>
      <c r="U140" s="99" t="str">
        <f>IF(Applications[[#This Row],[Date]]="","",Applications[[#This Row],[Date]])</f>
        <v/>
      </c>
      <c r="V140" s="18" t="str">
        <f>IF(Applications[[#This Row],[Volume of solution applied
(m3)]]="","",Applications[[#This Row],[Volume of solution applied
(m3)]])</f>
        <v/>
      </c>
      <c r="W140" s="18" t="str">
        <v/>
      </c>
      <c r="X140" s="18" t="str">
        <v/>
      </c>
      <c r="Y140" s="18">
        <v>0</v>
      </c>
      <c r="Z140" s="18">
        <v>0</v>
      </c>
    </row>
    <row r="141" spans="2:26" ht="35.1" customHeight="1" thickBot="1">
      <c r="B141" s="54">
        <v>136</v>
      </c>
      <c r="C141" s="32"/>
      <c r="D141" s="33"/>
      <c r="E141" s="104" t="str">
        <f>IF(Applications[[#This Row],[Block ID]]="","",(_xlfn.XLOOKUP(Applications[[#This Row],[Block ID]],Blocks[Block ID],Blocks[Area (ha)],"")))</f>
        <v/>
      </c>
      <c r="F141" s="33"/>
      <c r="G141" s="105" t="str">
        <f t="shared" si="6"/>
        <v/>
      </c>
      <c r="H141" s="33"/>
      <c r="I141" s="33"/>
      <c r="J141" s="33"/>
      <c r="K141" s="77"/>
      <c r="L141" s="33"/>
      <c r="M141" s="33"/>
      <c r="N141" s="23" t="str">
        <f t="shared" si="7"/>
        <v/>
      </c>
      <c r="O141" s="23">
        <f>Applications[[#This Row],[Nitrogen concentration in drain solution
 (ppm or mg/L)]]*Applications[[#This Row],[Volume of solution applied
(m3)]]/1000</f>
        <v>0</v>
      </c>
      <c r="P141" s="33"/>
      <c r="Q141" s="23" t="str">
        <f t="shared" si="8"/>
        <v/>
      </c>
      <c r="R141" s="98">
        <f>Applications[[#This Row],[Phosphorus concentration in drain solution
(ppm or mg/L)]]*Applications[[#This Row],[Volume of solution applied
(m3)]]/1000</f>
        <v>0</v>
      </c>
      <c r="S141" s="65"/>
      <c r="U141" s="99" t="str">
        <f>IF(Applications[[#This Row],[Date]]="","",Applications[[#This Row],[Date]])</f>
        <v/>
      </c>
      <c r="V141" s="18" t="str">
        <f>IF(Applications[[#This Row],[Volume of solution applied
(m3)]]="","",Applications[[#This Row],[Volume of solution applied
(m3)]])</f>
        <v/>
      </c>
      <c r="W141" s="18" t="str">
        <v/>
      </c>
      <c r="X141" s="18" t="str">
        <v/>
      </c>
      <c r="Y141" s="18">
        <v>0</v>
      </c>
      <c r="Z141" s="18">
        <v>0</v>
      </c>
    </row>
    <row r="142" spans="2:26" ht="35.1" customHeight="1" thickBot="1">
      <c r="B142" s="54">
        <v>137</v>
      </c>
      <c r="C142" s="32"/>
      <c r="D142" s="33"/>
      <c r="E142" s="104" t="str">
        <f>IF(Applications[[#This Row],[Block ID]]="","",(_xlfn.XLOOKUP(Applications[[#This Row],[Block ID]],Blocks[Block ID],Blocks[Area (ha)],"")))</f>
        <v/>
      </c>
      <c r="F142" s="33"/>
      <c r="G142" s="105" t="str">
        <f t="shared" si="6"/>
        <v/>
      </c>
      <c r="H142" s="33"/>
      <c r="I142" s="33"/>
      <c r="J142" s="33"/>
      <c r="K142" s="77"/>
      <c r="L142" s="33"/>
      <c r="M142" s="33"/>
      <c r="N142" s="23" t="str">
        <f t="shared" si="7"/>
        <v/>
      </c>
      <c r="O142" s="23">
        <f>Applications[[#This Row],[Nitrogen concentration in drain solution
 (ppm or mg/L)]]*Applications[[#This Row],[Volume of solution applied
(m3)]]/1000</f>
        <v>0</v>
      </c>
      <c r="P142" s="33"/>
      <c r="Q142" s="23" t="str">
        <f t="shared" si="8"/>
        <v/>
      </c>
      <c r="R142" s="98">
        <f>Applications[[#This Row],[Phosphorus concentration in drain solution
(ppm or mg/L)]]*Applications[[#This Row],[Volume of solution applied
(m3)]]/1000</f>
        <v>0</v>
      </c>
      <c r="S142" s="65"/>
      <c r="U142" s="99" t="str">
        <f>IF(Applications[[#This Row],[Date]]="","",Applications[[#This Row],[Date]])</f>
        <v/>
      </c>
      <c r="V142" s="18" t="str">
        <f>IF(Applications[[#This Row],[Volume of solution applied
(m3)]]="","",Applications[[#This Row],[Volume of solution applied
(m3)]])</f>
        <v/>
      </c>
      <c r="W142" s="18" t="str">
        <v/>
      </c>
      <c r="X142" s="18" t="str">
        <v/>
      </c>
      <c r="Y142" s="18">
        <v>0</v>
      </c>
      <c r="Z142" s="18">
        <v>0</v>
      </c>
    </row>
    <row r="143" spans="2:26" ht="35.1" customHeight="1" thickBot="1">
      <c r="B143" s="54">
        <v>138</v>
      </c>
      <c r="C143" s="32"/>
      <c r="D143" s="33"/>
      <c r="E143" s="104" t="str">
        <f>IF(Applications[[#This Row],[Block ID]]="","",(_xlfn.XLOOKUP(Applications[[#This Row],[Block ID]],Blocks[Block ID],Blocks[Area (ha)],"")))</f>
        <v/>
      </c>
      <c r="F143" s="33"/>
      <c r="G143" s="105" t="str">
        <f t="shared" si="6"/>
        <v/>
      </c>
      <c r="H143" s="33"/>
      <c r="I143" s="33"/>
      <c r="J143" s="33"/>
      <c r="K143" s="77"/>
      <c r="L143" s="33"/>
      <c r="M143" s="33"/>
      <c r="N143" s="23" t="str">
        <f t="shared" si="7"/>
        <v/>
      </c>
      <c r="O143" s="23">
        <f>Applications[[#This Row],[Nitrogen concentration in drain solution
 (ppm or mg/L)]]*Applications[[#This Row],[Volume of solution applied
(m3)]]/1000</f>
        <v>0</v>
      </c>
      <c r="P143" s="33"/>
      <c r="Q143" s="23" t="str">
        <f t="shared" si="8"/>
        <v/>
      </c>
      <c r="R143" s="98">
        <f>Applications[[#This Row],[Phosphorus concentration in drain solution
(ppm or mg/L)]]*Applications[[#This Row],[Volume of solution applied
(m3)]]/1000</f>
        <v>0</v>
      </c>
      <c r="S143" s="65"/>
      <c r="U143" s="99" t="str">
        <f>IF(Applications[[#This Row],[Date]]="","",Applications[[#This Row],[Date]])</f>
        <v/>
      </c>
      <c r="V143" s="18" t="str">
        <f>IF(Applications[[#This Row],[Volume of solution applied
(m3)]]="","",Applications[[#This Row],[Volume of solution applied
(m3)]])</f>
        <v/>
      </c>
      <c r="W143" s="18" t="str">
        <v/>
      </c>
      <c r="X143" s="18" t="str">
        <v/>
      </c>
      <c r="Y143" s="18">
        <v>0</v>
      </c>
      <c r="Z143" s="18">
        <v>0</v>
      </c>
    </row>
    <row r="144" spans="2:26" ht="35.1" customHeight="1" thickBot="1">
      <c r="B144" s="54">
        <v>139</v>
      </c>
      <c r="C144" s="32"/>
      <c r="D144" s="33"/>
      <c r="E144" s="104" t="str">
        <f>IF(Applications[[#This Row],[Block ID]]="","",(_xlfn.XLOOKUP(Applications[[#This Row],[Block ID]],Blocks[Block ID],Blocks[Area (ha)],"")))</f>
        <v/>
      </c>
      <c r="F144" s="33"/>
      <c r="G144" s="105" t="str">
        <f t="shared" si="6"/>
        <v/>
      </c>
      <c r="H144" s="33"/>
      <c r="I144" s="33"/>
      <c r="J144" s="33"/>
      <c r="K144" s="77"/>
      <c r="L144" s="33"/>
      <c r="M144" s="33"/>
      <c r="N144" s="23" t="str">
        <f t="shared" si="7"/>
        <v/>
      </c>
      <c r="O144" s="23">
        <f>Applications[[#This Row],[Nitrogen concentration in drain solution
 (ppm or mg/L)]]*Applications[[#This Row],[Volume of solution applied
(m3)]]/1000</f>
        <v>0</v>
      </c>
      <c r="P144" s="33"/>
      <c r="Q144" s="23" t="str">
        <f t="shared" si="8"/>
        <v/>
      </c>
      <c r="R144" s="98">
        <f>Applications[[#This Row],[Phosphorus concentration in drain solution
(ppm or mg/L)]]*Applications[[#This Row],[Volume of solution applied
(m3)]]/1000</f>
        <v>0</v>
      </c>
      <c r="S144" s="65"/>
      <c r="U144" s="99" t="str">
        <f>IF(Applications[[#This Row],[Date]]="","",Applications[[#This Row],[Date]])</f>
        <v/>
      </c>
      <c r="V144" s="18" t="str">
        <f>IF(Applications[[#This Row],[Volume of solution applied
(m3)]]="","",Applications[[#This Row],[Volume of solution applied
(m3)]])</f>
        <v/>
      </c>
      <c r="W144" s="18" t="str">
        <v/>
      </c>
      <c r="X144" s="18" t="str">
        <v/>
      </c>
      <c r="Y144" s="18">
        <v>0</v>
      </c>
      <c r="Z144" s="18">
        <v>0</v>
      </c>
    </row>
    <row r="145" spans="2:26" ht="35.1" customHeight="1" thickBot="1">
      <c r="B145" s="54">
        <v>140</v>
      </c>
      <c r="C145" s="32"/>
      <c r="D145" s="33"/>
      <c r="E145" s="104" t="str">
        <f>IF(Applications[[#This Row],[Block ID]]="","",(_xlfn.XLOOKUP(Applications[[#This Row],[Block ID]],Blocks[Block ID],Blocks[Area (ha)],"")))</f>
        <v/>
      </c>
      <c r="F145" s="33"/>
      <c r="G145" s="105" t="str">
        <f t="shared" si="6"/>
        <v/>
      </c>
      <c r="H145" s="33"/>
      <c r="I145" s="33"/>
      <c r="J145" s="33"/>
      <c r="K145" s="77"/>
      <c r="L145" s="33"/>
      <c r="M145" s="33"/>
      <c r="N145" s="23" t="str">
        <f t="shared" si="7"/>
        <v/>
      </c>
      <c r="O145" s="23">
        <f>Applications[[#This Row],[Nitrogen concentration in drain solution
 (ppm or mg/L)]]*Applications[[#This Row],[Volume of solution applied
(m3)]]/1000</f>
        <v>0</v>
      </c>
      <c r="P145" s="33"/>
      <c r="Q145" s="23" t="str">
        <f t="shared" si="8"/>
        <v/>
      </c>
      <c r="R145" s="98">
        <f>Applications[[#This Row],[Phosphorus concentration in drain solution
(ppm or mg/L)]]*Applications[[#This Row],[Volume of solution applied
(m3)]]/1000</f>
        <v>0</v>
      </c>
      <c r="S145" s="65"/>
      <c r="U145" s="99" t="str">
        <f>IF(Applications[[#This Row],[Date]]="","",Applications[[#This Row],[Date]])</f>
        <v/>
      </c>
      <c r="V145" s="18" t="str">
        <f>IF(Applications[[#This Row],[Volume of solution applied
(m3)]]="","",Applications[[#This Row],[Volume of solution applied
(m3)]])</f>
        <v/>
      </c>
      <c r="W145" s="18" t="str">
        <v/>
      </c>
      <c r="X145" s="18" t="str">
        <v/>
      </c>
      <c r="Y145" s="18">
        <v>0</v>
      </c>
      <c r="Z145" s="18">
        <v>0</v>
      </c>
    </row>
    <row r="146" spans="2:26" ht="35.1" customHeight="1" thickBot="1">
      <c r="B146" s="54">
        <v>141</v>
      </c>
      <c r="C146" s="32"/>
      <c r="D146" s="33"/>
      <c r="E146" s="104" t="str">
        <f>IF(Applications[[#This Row],[Block ID]]="","",(_xlfn.XLOOKUP(Applications[[#This Row],[Block ID]],Blocks[Block ID],Blocks[Area (ha)],"")))</f>
        <v/>
      </c>
      <c r="F146" s="33"/>
      <c r="G146" s="105" t="str">
        <f t="shared" si="6"/>
        <v/>
      </c>
      <c r="H146" s="33"/>
      <c r="I146" s="33"/>
      <c r="J146" s="33"/>
      <c r="K146" s="77"/>
      <c r="L146" s="33"/>
      <c r="M146" s="33"/>
      <c r="N146" s="23" t="str">
        <f t="shared" si="7"/>
        <v/>
      </c>
      <c r="O146" s="23">
        <f>Applications[[#This Row],[Nitrogen concentration in drain solution
 (ppm or mg/L)]]*Applications[[#This Row],[Volume of solution applied
(m3)]]/1000</f>
        <v>0</v>
      </c>
      <c r="P146" s="33"/>
      <c r="Q146" s="23" t="str">
        <f t="shared" si="8"/>
        <v/>
      </c>
      <c r="R146" s="98">
        <f>Applications[[#This Row],[Phosphorus concentration in drain solution
(ppm or mg/L)]]*Applications[[#This Row],[Volume of solution applied
(m3)]]/1000</f>
        <v>0</v>
      </c>
      <c r="S146" s="65"/>
      <c r="U146" s="99" t="str">
        <f>IF(Applications[[#This Row],[Date]]="","",Applications[[#This Row],[Date]])</f>
        <v/>
      </c>
      <c r="V146" s="18" t="str">
        <f>IF(Applications[[#This Row],[Volume of solution applied
(m3)]]="","",Applications[[#This Row],[Volume of solution applied
(m3)]])</f>
        <v/>
      </c>
      <c r="W146" s="18" t="str">
        <v/>
      </c>
      <c r="X146" s="18" t="str">
        <v/>
      </c>
      <c r="Y146" s="18">
        <v>0</v>
      </c>
      <c r="Z146" s="18">
        <v>0</v>
      </c>
    </row>
    <row r="147" spans="2:26" ht="35.1" customHeight="1" thickBot="1">
      <c r="B147" s="54">
        <v>142</v>
      </c>
      <c r="C147" s="32"/>
      <c r="D147" s="33"/>
      <c r="E147" s="104" t="str">
        <f>IF(Applications[[#This Row],[Block ID]]="","",(_xlfn.XLOOKUP(Applications[[#This Row],[Block ID]],Blocks[Block ID],Blocks[Area (ha)],"")))</f>
        <v/>
      </c>
      <c r="F147" s="33"/>
      <c r="G147" s="105" t="str">
        <f t="shared" si="6"/>
        <v/>
      </c>
      <c r="H147" s="33"/>
      <c r="I147" s="33"/>
      <c r="J147" s="33"/>
      <c r="K147" s="77"/>
      <c r="L147" s="33"/>
      <c r="M147" s="33"/>
      <c r="N147" s="23" t="str">
        <f t="shared" si="7"/>
        <v/>
      </c>
      <c r="O147" s="23">
        <f>Applications[[#This Row],[Nitrogen concentration in drain solution
 (ppm or mg/L)]]*Applications[[#This Row],[Volume of solution applied
(m3)]]/1000</f>
        <v>0</v>
      </c>
      <c r="P147" s="33"/>
      <c r="Q147" s="23" t="str">
        <f t="shared" si="8"/>
        <v/>
      </c>
      <c r="R147" s="98">
        <f>Applications[[#This Row],[Phosphorus concentration in drain solution
(ppm or mg/L)]]*Applications[[#This Row],[Volume of solution applied
(m3)]]/1000</f>
        <v>0</v>
      </c>
      <c r="S147" s="65"/>
      <c r="U147" s="99" t="str">
        <f>IF(Applications[[#This Row],[Date]]="","",Applications[[#This Row],[Date]])</f>
        <v/>
      </c>
      <c r="V147" s="18" t="str">
        <f>IF(Applications[[#This Row],[Volume of solution applied
(m3)]]="","",Applications[[#This Row],[Volume of solution applied
(m3)]])</f>
        <v/>
      </c>
      <c r="W147" s="18" t="str">
        <v/>
      </c>
      <c r="X147" s="18" t="str">
        <v/>
      </c>
      <c r="Y147" s="18">
        <v>0</v>
      </c>
      <c r="Z147" s="18">
        <v>0</v>
      </c>
    </row>
    <row r="148" spans="2:26" ht="35.1" customHeight="1" thickBot="1">
      <c r="B148" s="54">
        <v>143</v>
      </c>
      <c r="C148" s="32"/>
      <c r="D148" s="33"/>
      <c r="E148" s="104" t="str">
        <f>IF(Applications[[#This Row],[Block ID]]="","",(_xlfn.XLOOKUP(Applications[[#This Row],[Block ID]],Blocks[Block ID],Blocks[Area (ha)],"")))</f>
        <v/>
      </c>
      <c r="F148" s="33"/>
      <c r="G148" s="105" t="str">
        <f t="shared" si="6"/>
        <v/>
      </c>
      <c r="H148" s="33"/>
      <c r="I148" s="33"/>
      <c r="J148" s="33"/>
      <c r="K148" s="77"/>
      <c r="L148" s="33"/>
      <c r="M148" s="33"/>
      <c r="N148" s="23" t="str">
        <f t="shared" si="7"/>
        <v/>
      </c>
      <c r="O148" s="23">
        <f>Applications[[#This Row],[Nitrogen concentration in drain solution
 (ppm or mg/L)]]*Applications[[#This Row],[Volume of solution applied
(m3)]]/1000</f>
        <v>0</v>
      </c>
      <c r="P148" s="33"/>
      <c r="Q148" s="23" t="str">
        <f t="shared" si="8"/>
        <v/>
      </c>
      <c r="R148" s="98">
        <f>Applications[[#This Row],[Phosphorus concentration in drain solution
(ppm or mg/L)]]*Applications[[#This Row],[Volume of solution applied
(m3)]]/1000</f>
        <v>0</v>
      </c>
      <c r="S148" s="65"/>
      <c r="U148" s="99" t="str">
        <f>IF(Applications[[#This Row],[Date]]="","",Applications[[#This Row],[Date]])</f>
        <v/>
      </c>
      <c r="V148" s="18" t="str">
        <f>IF(Applications[[#This Row],[Volume of solution applied
(m3)]]="","",Applications[[#This Row],[Volume of solution applied
(m3)]])</f>
        <v/>
      </c>
      <c r="W148" s="18" t="str">
        <v/>
      </c>
      <c r="X148" s="18" t="str">
        <v/>
      </c>
      <c r="Y148" s="18">
        <v>0</v>
      </c>
      <c r="Z148" s="18">
        <v>0</v>
      </c>
    </row>
    <row r="149" spans="2:26" ht="35.1" customHeight="1" thickBot="1">
      <c r="B149" s="54">
        <v>144</v>
      </c>
      <c r="C149" s="32"/>
      <c r="D149" s="33"/>
      <c r="E149" s="104" t="str">
        <f>IF(Applications[[#This Row],[Block ID]]="","",(_xlfn.XLOOKUP(Applications[[#This Row],[Block ID]],Blocks[Block ID],Blocks[Area (ha)],"")))</f>
        <v/>
      </c>
      <c r="F149" s="33"/>
      <c r="G149" s="105" t="str">
        <f t="shared" si="6"/>
        <v/>
      </c>
      <c r="H149" s="33"/>
      <c r="I149" s="33"/>
      <c r="J149" s="33"/>
      <c r="K149" s="77"/>
      <c r="L149" s="33"/>
      <c r="M149" s="33"/>
      <c r="N149" s="23" t="str">
        <f t="shared" si="7"/>
        <v/>
      </c>
      <c r="O149" s="23">
        <f>Applications[[#This Row],[Nitrogen concentration in drain solution
 (ppm or mg/L)]]*Applications[[#This Row],[Volume of solution applied
(m3)]]/1000</f>
        <v>0</v>
      </c>
      <c r="P149" s="33"/>
      <c r="Q149" s="23" t="str">
        <f t="shared" si="8"/>
        <v/>
      </c>
      <c r="R149" s="98">
        <f>Applications[[#This Row],[Phosphorus concentration in drain solution
(ppm or mg/L)]]*Applications[[#This Row],[Volume of solution applied
(m3)]]/1000</f>
        <v>0</v>
      </c>
      <c r="S149" s="65"/>
      <c r="U149" s="99" t="str">
        <f>IF(Applications[[#This Row],[Date]]="","",Applications[[#This Row],[Date]])</f>
        <v/>
      </c>
      <c r="V149" s="18" t="str">
        <f>IF(Applications[[#This Row],[Volume of solution applied
(m3)]]="","",Applications[[#This Row],[Volume of solution applied
(m3)]])</f>
        <v/>
      </c>
      <c r="W149" s="18" t="str">
        <v/>
      </c>
      <c r="X149" s="18" t="str">
        <v/>
      </c>
      <c r="Y149" s="18">
        <v>0</v>
      </c>
      <c r="Z149" s="18">
        <v>0</v>
      </c>
    </row>
    <row r="150" spans="2:26" ht="35.1" customHeight="1" thickBot="1">
      <c r="B150" s="54">
        <v>145</v>
      </c>
      <c r="C150" s="32"/>
      <c r="D150" s="33"/>
      <c r="E150" s="104" t="str">
        <f>IF(Applications[[#This Row],[Block ID]]="","",(_xlfn.XLOOKUP(Applications[[#This Row],[Block ID]],Blocks[Block ID],Blocks[Area (ha)],"")))</f>
        <v/>
      </c>
      <c r="F150" s="33"/>
      <c r="G150" s="105" t="str">
        <f t="shared" si="6"/>
        <v/>
      </c>
      <c r="H150" s="33"/>
      <c r="I150" s="33"/>
      <c r="J150" s="33"/>
      <c r="K150" s="77"/>
      <c r="L150" s="33"/>
      <c r="M150" s="33"/>
      <c r="N150" s="23" t="str">
        <f t="shared" si="7"/>
        <v/>
      </c>
      <c r="O150" s="23">
        <f>Applications[[#This Row],[Nitrogen concentration in drain solution
 (ppm or mg/L)]]*Applications[[#This Row],[Volume of solution applied
(m3)]]/1000</f>
        <v>0</v>
      </c>
      <c r="P150" s="33"/>
      <c r="Q150" s="23" t="str">
        <f t="shared" si="8"/>
        <v/>
      </c>
      <c r="R150" s="98">
        <f>Applications[[#This Row],[Phosphorus concentration in drain solution
(ppm or mg/L)]]*Applications[[#This Row],[Volume of solution applied
(m3)]]/1000</f>
        <v>0</v>
      </c>
      <c r="S150" s="65"/>
      <c r="U150" s="99" t="str">
        <f>IF(Applications[[#This Row],[Date]]="","",Applications[[#This Row],[Date]])</f>
        <v/>
      </c>
      <c r="V150" s="18" t="str">
        <f>IF(Applications[[#This Row],[Volume of solution applied
(m3)]]="","",Applications[[#This Row],[Volume of solution applied
(m3)]])</f>
        <v/>
      </c>
      <c r="W150" s="18" t="str">
        <v/>
      </c>
      <c r="X150" s="18" t="str">
        <v/>
      </c>
      <c r="Y150" s="18">
        <v>0</v>
      </c>
      <c r="Z150" s="18">
        <v>0</v>
      </c>
    </row>
    <row r="151" spans="2:26" ht="35.1" customHeight="1" thickBot="1">
      <c r="B151" s="54">
        <v>146</v>
      </c>
      <c r="C151" s="32"/>
      <c r="D151" s="33"/>
      <c r="E151" s="104" t="str">
        <f>IF(Applications[[#This Row],[Block ID]]="","",(_xlfn.XLOOKUP(Applications[[#This Row],[Block ID]],Blocks[Block ID],Blocks[Area (ha)],"")))</f>
        <v/>
      </c>
      <c r="F151" s="33"/>
      <c r="G151" s="105" t="str">
        <f t="shared" si="6"/>
        <v/>
      </c>
      <c r="H151" s="33"/>
      <c r="I151" s="33"/>
      <c r="J151" s="33"/>
      <c r="K151" s="77"/>
      <c r="L151" s="33"/>
      <c r="M151" s="33"/>
      <c r="N151" s="23" t="str">
        <f t="shared" si="7"/>
        <v/>
      </c>
      <c r="O151" s="23">
        <f>Applications[[#This Row],[Nitrogen concentration in drain solution
 (ppm or mg/L)]]*Applications[[#This Row],[Volume of solution applied
(m3)]]/1000</f>
        <v>0</v>
      </c>
      <c r="P151" s="33"/>
      <c r="Q151" s="23" t="str">
        <f t="shared" si="8"/>
        <v/>
      </c>
      <c r="R151" s="98">
        <f>Applications[[#This Row],[Phosphorus concentration in drain solution
(ppm or mg/L)]]*Applications[[#This Row],[Volume of solution applied
(m3)]]/1000</f>
        <v>0</v>
      </c>
      <c r="S151" s="65"/>
      <c r="U151" s="99" t="str">
        <f>IF(Applications[[#This Row],[Date]]="","",Applications[[#This Row],[Date]])</f>
        <v/>
      </c>
      <c r="V151" s="18" t="str">
        <f>IF(Applications[[#This Row],[Volume of solution applied
(m3)]]="","",Applications[[#This Row],[Volume of solution applied
(m3)]])</f>
        <v/>
      </c>
      <c r="W151" s="18" t="str">
        <v/>
      </c>
      <c r="X151" s="18" t="str">
        <v/>
      </c>
      <c r="Y151" s="18">
        <v>0</v>
      </c>
      <c r="Z151" s="18">
        <v>0</v>
      </c>
    </row>
    <row r="152" spans="2:26" ht="35.1" customHeight="1" thickBot="1">
      <c r="B152" s="54">
        <v>147</v>
      </c>
      <c r="C152" s="32"/>
      <c r="D152" s="33"/>
      <c r="E152" s="104" t="str">
        <f>IF(Applications[[#This Row],[Block ID]]="","",(_xlfn.XLOOKUP(Applications[[#This Row],[Block ID]],Blocks[Block ID],Blocks[Area (ha)],"")))</f>
        <v/>
      </c>
      <c r="F152" s="33"/>
      <c r="G152" s="105" t="str">
        <f t="shared" si="6"/>
        <v/>
      </c>
      <c r="H152" s="33"/>
      <c r="I152" s="33"/>
      <c r="J152" s="33"/>
      <c r="K152" s="77"/>
      <c r="L152" s="33"/>
      <c r="M152" s="33"/>
      <c r="N152" s="23" t="str">
        <f t="shared" si="7"/>
        <v/>
      </c>
      <c r="O152" s="23">
        <f>Applications[[#This Row],[Nitrogen concentration in drain solution
 (ppm or mg/L)]]*Applications[[#This Row],[Volume of solution applied
(m3)]]/1000</f>
        <v>0</v>
      </c>
      <c r="P152" s="33"/>
      <c r="Q152" s="23" t="str">
        <f t="shared" si="8"/>
        <v/>
      </c>
      <c r="R152" s="98">
        <f>Applications[[#This Row],[Phosphorus concentration in drain solution
(ppm or mg/L)]]*Applications[[#This Row],[Volume of solution applied
(m3)]]/1000</f>
        <v>0</v>
      </c>
      <c r="S152" s="65"/>
      <c r="U152" s="99" t="str">
        <f>IF(Applications[[#This Row],[Date]]="","",Applications[[#This Row],[Date]])</f>
        <v/>
      </c>
      <c r="V152" s="18" t="str">
        <f>IF(Applications[[#This Row],[Volume of solution applied
(m3)]]="","",Applications[[#This Row],[Volume of solution applied
(m3)]])</f>
        <v/>
      </c>
      <c r="W152" s="18" t="str">
        <v/>
      </c>
      <c r="X152" s="18" t="str">
        <v/>
      </c>
      <c r="Y152" s="18">
        <v>0</v>
      </c>
      <c r="Z152" s="18">
        <v>0</v>
      </c>
    </row>
    <row r="153" spans="2:26" ht="35.1" customHeight="1" thickBot="1">
      <c r="B153" s="54">
        <v>148</v>
      </c>
      <c r="C153" s="32"/>
      <c r="D153" s="33"/>
      <c r="E153" s="104" t="str">
        <f>IF(Applications[[#This Row],[Block ID]]="","",(_xlfn.XLOOKUP(Applications[[#This Row],[Block ID]],Blocks[Block ID],Blocks[Area (ha)],"")))</f>
        <v/>
      </c>
      <c r="F153" s="33"/>
      <c r="G153" s="105" t="str">
        <f t="shared" si="6"/>
        <v/>
      </c>
      <c r="H153" s="33"/>
      <c r="I153" s="33"/>
      <c r="J153" s="33"/>
      <c r="K153" s="77"/>
      <c r="L153" s="33"/>
      <c r="M153" s="33"/>
      <c r="N153" s="23" t="str">
        <f t="shared" si="7"/>
        <v/>
      </c>
      <c r="O153" s="23">
        <f>Applications[[#This Row],[Nitrogen concentration in drain solution
 (ppm or mg/L)]]*Applications[[#This Row],[Volume of solution applied
(m3)]]/1000</f>
        <v>0</v>
      </c>
      <c r="P153" s="33"/>
      <c r="Q153" s="23" t="str">
        <f t="shared" si="8"/>
        <v/>
      </c>
      <c r="R153" s="98">
        <f>Applications[[#This Row],[Phosphorus concentration in drain solution
(ppm or mg/L)]]*Applications[[#This Row],[Volume of solution applied
(m3)]]/1000</f>
        <v>0</v>
      </c>
      <c r="S153" s="65"/>
      <c r="U153" s="99" t="str">
        <f>IF(Applications[[#This Row],[Date]]="","",Applications[[#This Row],[Date]])</f>
        <v/>
      </c>
      <c r="V153" s="18" t="str">
        <f>IF(Applications[[#This Row],[Volume of solution applied
(m3)]]="","",Applications[[#This Row],[Volume of solution applied
(m3)]])</f>
        <v/>
      </c>
      <c r="W153" s="18" t="str">
        <v/>
      </c>
      <c r="X153" s="18" t="str">
        <v/>
      </c>
      <c r="Y153" s="18">
        <v>0</v>
      </c>
      <c r="Z153" s="18">
        <v>0</v>
      </c>
    </row>
    <row r="154" spans="2:26" ht="35.1" customHeight="1" thickBot="1">
      <c r="B154" s="54">
        <v>149</v>
      </c>
      <c r="C154" s="32"/>
      <c r="D154" s="33"/>
      <c r="E154" s="104" t="str">
        <f>IF(Applications[[#This Row],[Block ID]]="","",(_xlfn.XLOOKUP(Applications[[#This Row],[Block ID]],Blocks[Block ID],Blocks[Area (ha)],"")))</f>
        <v/>
      </c>
      <c r="F154" s="33"/>
      <c r="G154" s="105" t="str">
        <f t="shared" si="6"/>
        <v/>
      </c>
      <c r="H154" s="33"/>
      <c r="I154" s="33"/>
      <c r="J154" s="33"/>
      <c r="K154" s="77"/>
      <c r="L154" s="33"/>
      <c r="M154" s="33"/>
      <c r="N154" s="23" t="str">
        <f t="shared" si="7"/>
        <v/>
      </c>
      <c r="O154" s="23">
        <f>Applications[[#This Row],[Nitrogen concentration in drain solution
 (ppm or mg/L)]]*Applications[[#This Row],[Volume of solution applied
(m3)]]/1000</f>
        <v>0</v>
      </c>
      <c r="P154" s="33"/>
      <c r="Q154" s="23" t="str">
        <f t="shared" si="8"/>
        <v/>
      </c>
      <c r="R154" s="98">
        <f>Applications[[#This Row],[Phosphorus concentration in drain solution
(ppm or mg/L)]]*Applications[[#This Row],[Volume of solution applied
(m3)]]/1000</f>
        <v>0</v>
      </c>
      <c r="S154" s="65"/>
      <c r="U154" s="99" t="str">
        <f>IF(Applications[[#This Row],[Date]]="","",Applications[[#This Row],[Date]])</f>
        <v/>
      </c>
      <c r="V154" s="18" t="str">
        <f>IF(Applications[[#This Row],[Volume of solution applied
(m3)]]="","",Applications[[#This Row],[Volume of solution applied
(m3)]])</f>
        <v/>
      </c>
      <c r="W154" s="18" t="str">
        <v/>
      </c>
      <c r="X154" s="18" t="str">
        <v/>
      </c>
      <c r="Y154" s="18">
        <v>0</v>
      </c>
      <c r="Z154" s="18">
        <v>0</v>
      </c>
    </row>
    <row r="155" spans="2:26" ht="35.1" customHeight="1" thickBot="1">
      <c r="B155" s="54">
        <v>150</v>
      </c>
      <c r="C155" s="32"/>
      <c r="D155" s="33"/>
      <c r="E155" s="104" t="str">
        <f>IF(Applications[[#This Row],[Block ID]]="","",(_xlfn.XLOOKUP(Applications[[#This Row],[Block ID]],Blocks[Block ID],Blocks[Area (ha)],"")))</f>
        <v/>
      </c>
      <c r="F155" s="33"/>
      <c r="G155" s="105" t="str">
        <f t="shared" si="6"/>
        <v/>
      </c>
      <c r="H155" s="33"/>
      <c r="I155" s="33"/>
      <c r="J155" s="33"/>
      <c r="K155" s="77"/>
      <c r="L155" s="33"/>
      <c r="M155" s="33"/>
      <c r="N155" s="23" t="str">
        <f t="shared" si="7"/>
        <v/>
      </c>
      <c r="O155" s="23">
        <f>Applications[[#This Row],[Nitrogen concentration in drain solution
 (ppm or mg/L)]]*Applications[[#This Row],[Volume of solution applied
(m3)]]/1000</f>
        <v>0</v>
      </c>
      <c r="P155" s="33"/>
      <c r="Q155" s="23" t="str">
        <f t="shared" si="8"/>
        <v/>
      </c>
      <c r="R155" s="98">
        <f>Applications[[#This Row],[Phosphorus concentration in drain solution
(ppm or mg/L)]]*Applications[[#This Row],[Volume of solution applied
(m3)]]/1000</f>
        <v>0</v>
      </c>
      <c r="S155" s="65"/>
      <c r="U155" s="99" t="str">
        <f>IF(Applications[[#This Row],[Date]]="","",Applications[[#This Row],[Date]])</f>
        <v/>
      </c>
      <c r="V155" s="18" t="str">
        <f>IF(Applications[[#This Row],[Volume of solution applied
(m3)]]="","",Applications[[#This Row],[Volume of solution applied
(m3)]])</f>
        <v/>
      </c>
      <c r="W155" s="18" t="str">
        <v/>
      </c>
      <c r="X155" s="18" t="str">
        <v/>
      </c>
      <c r="Y155" s="18">
        <v>0</v>
      </c>
      <c r="Z155" s="18">
        <v>0</v>
      </c>
    </row>
    <row r="156" spans="2:26" ht="35.1" customHeight="1" thickBot="1">
      <c r="B156" s="54">
        <v>151</v>
      </c>
      <c r="C156" s="32"/>
      <c r="D156" s="33"/>
      <c r="E156" s="104" t="str">
        <f>IF(Applications[[#This Row],[Block ID]]="","",(_xlfn.XLOOKUP(Applications[[#This Row],[Block ID]],Blocks[Block ID],Blocks[Area (ha)],"")))</f>
        <v/>
      </c>
      <c r="F156" s="33"/>
      <c r="G156" s="105" t="str">
        <f t="shared" si="6"/>
        <v/>
      </c>
      <c r="H156" s="33"/>
      <c r="I156" s="33"/>
      <c r="J156" s="33"/>
      <c r="K156" s="77"/>
      <c r="L156" s="33"/>
      <c r="M156" s="33"/>
      <c r="N156" s="23" t="str">
        <f t="shared" si="7"/>
        <v/>
      </c>
      <c r="O156" s="23">
        <f>Applications[[#This Row],[Nitrogen concentration in drain solution
 (ppm or mg/L)]]*Applications[[#This Row],[Volume of solution applied
(m3)]]/1000</f>
        <v>0</v>
      </c>
      <c r="P156" s="33"/>
      <c r="Q156" s="23" t="str">
        <f t="shared" si="8"/>
        <v/>
      </c>
      <c r="R156" s="98">
        <f>Applications[[#This Row],[Phosphorus concentration in drain solution
(ppm or mg/L)]]*Applications[[#This Row],[Volume of solution applied
(m3)]]/1000</f>
        <v>0</v>
      </c>
      <c r="S156" s="65"/>
      <c r="U156" s="99" t="str">
        <f>IF(Applications[[#This Row],[Date]]="","",Applications[[#This Row],[Date]])</f>
        <v/>
      </c>
      <c r="V156" s="18" t="str">
        <f>IF(Applications[[#This Row],[Volume of solution applied
(m3)]]="","",Applications[[#This Row],[Volume of solution applied
(m3)]])</f>
        <v/>
      </c>
      <c r="W156" s="18" t="str">
        <v/>
      </c>
      <c r="X156" s="18" t="str">
        <v/>
      </c>
      <c r="Y156" s="18">
        <v>0</v>
      </c>
      <c r="Z156" s="18">
        <v>0</v>
      </c>
    </row>
    <row r="157" spans="2:26" ht="35.1" customHeight="1" thickBot="1">
      <c r="B157" s="54">
        <v>152</v>
      </c>
      <c r="C157" s="32"/>
      <c r="D157" s="33"/>
      <c r="E157" s="104" t="str">
        <f>IF(Applications[[#This Row],[Block ID]]="","",(_xlfn.XLOOKUP(Applications[[#This Row],[Block ID]],Blocks[Block ID],Blocks[Area (ha)],"")))</f>
        <v/>
      </c>
      <c r="F157" s="33"/>
      <c r="G157" s="105" t="str">
        <f t="shared" si="6"/>
        <v/>
      </c>
      <c r="H157" s="33"/>
      <c r="I157" s="33"/>
      <c r="J157" s="33"/>
      <c r="K157" s="77"/>
      <c r="L157" s="33"/>
      <c r="M157" s="33"/>
      <c r="N157" s="23" t="str">
        <f t="shared" si="7"/>
        <v/>
      </c>
      <c r="O157" s="23">
        <f>Applications[[#This Row],[Nitrogen concentration in drain solution
 (ppm or mg/L)]]*Applications[[#This Row],[Volume of solution applied
(m3)]]/1000</f>
        <v>0</v>
      </c>
      <c r="P157" s="33"/>
      <c r="Q157" s="23" t="str">
        <f t="shared" si="8"/>
        <v/>
      </c>
      <c r="R157" s="98">
        <f>Applications[[#This Row],[Phosphorus concentration in drain solution
(ppm or mg/L)]]*Applications[[#This Row],[Volume of solution applied
(m3)]]/1000</f>
        <v>0</v>
      </c>
      <c r="S157" s="65"/>
      <c r="U157" s="99" t="str">
        <f>IF(Applications[[#This Row],[Date]]="","",Applications[[#This Row],[Date]])</f>
        <v/>
      </c>
      <c r="V157" s="18" t="str">
        <f>IF(Applications[[#This Row],[Volume of solution applied
(m3)]]="","",Applications[[#This Row],[Volume of solution applied
(m3)]])</f>
        <v/>
      </c>
      <c r="W157" s="18" t="str">
        <v/>
      </c>
      <c r="X157" s="18" t="str">
        <v/>
      </c>
      <c r="Y157" s="18">
        <v>0</v>
      </c>
      <c r="Z157" s="18">
        <v>0</v>
      </c>
    </row>
    <row r="158" spans="2:26" ht="35.1" customHeight="1" thickBot="1">
      <c r="B158" s="54">
        <v>153</v>
      </c>
      <c r="C158" s="32"/>
      <c r="D158" s="33"/>
      <c r="E158" s="104" t="str">
        <f>IF(Applications[[#This Row],[Block ID]]="","",(_xlfn.XLOOKUP(Applications[[#This Row],[Block ID]],Blocks[Block ID],Blocks[Area (ha)],"")))</f>
        <v/>
      </c>
      <c r="F158" s="33"/>
      <c r="G158" s="105" t="str">
        <f t="shared" si="6"/>
        <v/>
      </c>
      <c r="H158" s="33"/>
      <c r="I158" s="33"/>
      <c r="J158" s="33"/>
      <c r="K158" s="77"/>
      <c r="L158" s="33"/>
      <c r="M158" s="33"/>
      <c r="N158" s="23" t="str">
        <f t="shared" si="7"/>
        <v/>
      </c>
      <c r="O158" s="23">
        <f>Applications[[#This Row],[Nitrogen concentration in drain solution
 (ppm or mg/L)]]*Applications[[#This Row],[Volume of solution applied
(m3)]]/1000</f>
        <v>0</v>
      </c>
      <c r="P158" s="33"/>
      <c r="Q158" s="23" t="str">
        <f t="shared" si="8"/>
        <v/>
      </c>
      <c r="R158" s="98">
        <f>Applications[[#This Row],[Phosphorus concentration in drain solution
(ppm or mg/L)]]*Applications[[#This Row],[Volume of solution applied
(m3)]]/1000</f>
        <v>0</v>
      </c>
      <c r="S158" s="65"/>
      <c r="U158" s="99" t="str">
        <f>IF(Applications[[#This Row],[Date]]="","",Applications[[#This Row],[Date]])</f>
        <v/>
      </c>
      <c r="V158" s="18" t="str">
        <f>IF(Applications[[#This Row],[Volume of solution applied
(m3)]]="","",Applications[[#This Row],[Volume of solution applied
(m3)]])</f>
        <v/>
      </c>
      <c r="W158" s="18" t="str">
        <v/>
      </c>
      <c r="X158" s="18" t="str">
        <v/>
      </c>
      <c r="Y158" s="18">
        <v>0</v>
      </c>
      <c r="Z158" s="18">
        <v>0</v>
      </c>
    </row>
    <row r="159" spans="2:26" ht="35.1" customHeight="1" thickBot="1">
      <c r="B159" s="54">
        <v>154</v>
      </c>
      <c r="C159" s="32"/>
      <c r="D159" s="33"/>
      <c r="E159" s="104" t="str">
        <f>IF(Applications[[#This Row],[Block ID]]="","",(_xlfn.XLOOKUP(Applications[[#This Row],[Block ID]],Blocks[Block ID],Blocks[Area (ha)],"")))</f>
        <v/>
      </c>
      <c r="F159" s="33"/>
      <c r="G159" s="105" t="str">
        <f t="shared" si="6"/>
        <v/>
      </c>
      <c r="H159" s="33"/>
      <c r="I159" s="33"/>
      <c r="J159" s="33"/>
      <c r="K159" s="77"/>
      <c r="L159" s="33"/>
      <c r="M159" s="33"/>
      <c r="N159" s="23" t="str">
        <f t="shared" si="7"/>
        <v/>
      </c>
      <c r="O159" s="23">
        <f>Applications[[#This Row],[Nitrogen concentration in drain solution
 (ppm or mg/L)]]*Applications[[#This Row],[Volume of solution applied
(m3)]]/1000</f>
        <v>0</v>
      </c>
      <c r="P159" s="33"/>
      <c r="Q159" s="23" t="str">
        <f t="shared" si="8"/>
        <v/>
      </c>
      <c r="R159" s="98">
        <f>Applications[[#This Row],[Phosphorus concentration in drain solution
(ppm or mg/L)]]*Applications[[#This Row],[Volume of solution applied
(m3)]]/1000</f>
        <v>0</v>
      </c>
      <c r="S159" s="65"/>
      <c r="U159" s="99" t="str">
        <f>IF(Applications[[#This Row],[Date]]="","",Applications[[#This Row],[Date]])</f>
        <v/>
      </c>
      <c r="V159" s="18" t="str">
        <f>IF(Applications[[#This Row],[Volume of solution applied
(m3)]]="","",Applications[[#This Row],[Volume of solution applied
(m3)]])</f>
        <v/>
      </c>
      <c r="W159" s="18" t="str">
        <v/>
      </c>
      <c r="X159" s="18" t="str">
        <v/>
      </c>
      <c r="Y159" s="18">
        <v>0</v>
      </c>
      <c r="Z159" s="18">
        <v>0</v>
      </c>
    </row>
    <row r="160" spans="2:26" ht="35.1" customHeight="1" thickBot="1">
      <c r="B160" s="54">
        <v>155</v>
      </c>
      <c r="C160" s="32"/>
      <c r="D160" s="33"/>
      <c r="E160" s="104" t="str">
        <f>IF(Applications[[#This Row],[Block ID]]="","",(_xlfn.XLOOKUP(Applications[[#This Row],[Block ID]],Blocks[Block ID],Blocks[Area (ha)],"")))</f>
        <v/>
      </c>
      <c r="F160" s="33"/>
      <c r="G160" s="105" t="str">
        <f t="shared" si="6"/>
        <v/>
      </c>
      <c r="H160" s="33"/>
      <c r="I160" s="33"/>
      <c r="J160" s="33"/>
      <c r="K160" s="77"/>
      <c r="L160" s="33"/>
      <c r="M160" s="33"/>
      <c r="N160" s="23" t="str">
        <f t="shared" si="7"/>
        <v/>
      </c>
      <c r="O160" s="23">
        <f>Applications[[#This Row],[Nitrogen concentration in drain solution
 (ppm or mg/L)]]*Applications[[#This Row],[Volume of solution applied
(m3)]]/1000</f>
        <v>0</v>
      </c>
      <c r="P160" s="33"/>
      <c r="Q160" s="23" t="str">
        <f t="shared" si="8"/>
        <v/>
      </c>
      <c r="R160" s="98">
        <f>Applications[[#This Row],[Phosphorus concentration in drain solution
(ppm or mg/L)]]*Applications[[#This Row],[Volume of solution applied
(m3)]]/1000</f>
        <v>0</v>
      </c>
      <c r="S160" s="65"/>
      <c r="U160" s="99" t="str">
        <f>IF(Applications[[#This Row],[Date]]="","",Applications[[#This Row],[Date]])</f>
        <v/>
      </c>
      <c r="V160" s="18" t="str">
        <f>IF(Applications[[#This Row],[Volume of solution applied
(m3)]]="","",Applications[[#This Row],[Volume of solution applied
(m3)]])</f>
        <v/>
      </c>
      <c r="W160" s="18" t="str">
        <v/>
      </c>
      <c r="X160" s="18" t="str">
        <v/>
      </c>
      <c r="Y160" s="18">
        <v>0</v>
      </c>
      <c r="Z160" s="18">
        <v>0</v>
      </c>
    </row>
    <row r="161" spans="2:26" ht="35.1" customHeight="1" thickBot="1">
      <c r="B161" s="54">
        <v>156</v>
      </c>
      <c r="C161" s="32"/>
      <c r="D161" s="33"/>
      <c r="E161" s="104" t="str">
        <f>IF(Applications[[#This Row],[Block ID]]="","",(_xlfn.XLOOKUP(Applications[[#This Row],[Block ID]],Blocks[Block ID],Blocks[Area (ha)],"")))</f>
        <v/>
      </c>
      <c r="F161" s="33"/>
      <c r="G161" s="105" t="str">
        <f t="shared" si="6"/>
        <v/>
      </c>
      <c r="H161" s="33"/>
      <c r="I161" s="33"/>
      <c r="J161" s="33"/>
      <c r="K161" s="77"/>
      <c r="L161" s="33"/>
      <c r="M161" s="33"/>
      <c r="N161" s="23" t="str">
        <f t="shared" si="7"/>
        <v/>
      </c>
      <c r="O161" s="23">
        <f>Applications[[#This Row],[Nitrogen concentration in drain solution
 (ppm or mg/L)]]*Applications[[#This Row],[Volume of solution applied
(m3)]]/1000</f>
        <v>0</v>
      </c>
      <c r="P161" s="33"/>
      <c r="Q161" s="23" t="str">
        <f t="shared" si="8"/>
        <v/>
      </c>
      <c r="R161" s="98">
        <f>Applications[[#This Row],[Phosphorus concentration in drain solution
(ppm or mg/L)]]*Applications[[#This Row],[Volume of solution applied
(m3)]]/1000</f>
        <v>0</v>
      </c>
      <c r="S161" s="65"/>
      <c r="U161" s="99" t="str">
        <f>IF(Applications[[#This Row],[Date]]="","",Applications[[#This Row],[Date]])</f>
        <v/>
      </c>
      <c r="V161" s="18" t="str">
        <f>IF(Applications[[#This Row],[Volume of solution applied
(m3)]]="","",Applications[[#This Row],[Volume of solution applied
(m3)]])</f>
        <v/>
      </c>
      <c r="W161" s="18" t="str">
        <v/>
      </c>
      <c r="X161" s="18" t="str">
        <v/>
      </c>
      <c r="Y161" s="18">
        <v>0</v>
      </c>
      <c r="Z161" s="18">
        <v>0</v>
      </c>
    </row>
    <row r="162" spans="2:26" ht="35.1" customHeight="1" thickBot="1">
      <c r="B162" s="54">
        <v>157</v>
      </c>
      <c r="C162" s="32"/>
      <c r="D162" s="33"/>
      <c r="E162" s="104" t="str">
        <f>IF(Applications[[#This Row],[Block ID]]="","",(_xlfn.XLOOKUP(Applications[[#This Row],[Block ID]],Blocks[Block ID],Blocks[Area (ha)],"")))</f>
        <v/>
      </c>
      <c r="F162" s="33"/>
      <c r="G162" s="105" t="str">
        <f t="shared" si="6"/>
        <v/>
      </c>
      <c r="H162" s="33"/>
      <c r="I162" s="33"/>
      <c r="J162" s="33"/>
      <c r="K162" s="77"/>
      <c r="L162" s="33"/>
      <c r="M162" s="33"/>
      <c r="N162" s="23" t="str">
        <f t="shared" si="7"/>
        <v/>
      </c>
      <c r="O162" s="23">
        <f>Applications[[#This Row],[Nitrogen concentration in drain solution
 (ppm or mg/L)]]*Applications[[#This Row],[Volume of solution applied
(m3)]]/1000</f>
        <v>0</v>
      </c>
      <c r="P162" s="33"/>
      <c r="Q162" s="23" t="str">
        <f t="shared" si="8"/>
        <v/>
      </c>
      <c r="R162" s="98">
        <f>Applications[[#This Row],[Phosphorus concentration in drain solution
(ppm or mg/L)]]*Applications[[#This Row],[Volume of solution applied
(m3)]]/1000</f>
        <v>0</v>
      </c>
      <c r="S162" s="65"/>
      <c r="U162" s="99" t="str">
        <f>IF(Applications[[#This Row],[Date]]="","",Applications[[#This Row],[Date]])</f>
        <v/>
      </c>
      <c r="V162" s="18" t="str">
        <f>IF(Applications[[#This Row],[Volume of solution applied
(m3)]]="","",Applications[[#This Row],[Volume of solution applied
(m3)]])</f>
        <v/>
      </c>
      <c r="W162" s="18" t="str">
        <v/>
      </c>
      <c r="X162" s="18" t="str">
        <v/>
      </c>
      <c r="Y162" s="18">
        <v>0</v>
      </c>
      <c r="Z162" s="18">
        <v>0</v>
      </c>
    </row>
    <row r="163" spans="2:26" ht="35.1" customHeight="1" thickBot="1">
      <c r="B163" s="54">
        <v>158</v>
      </c>
      <c r="C163" s="32"/>
      <c r="D163" s="33"/>
      <c r="E163" s="104" t="str">
        <f>IF(Applications[[#This Row],[Block ID]]="","",(_xlfn.XLOOKUP(Applications[[#This Row],[Block ID]],Blocks[Block ID],Blocks[Area (ha)],"")))</f>
        <v/>
      </c>
      <c r="F163" s="33"/>
      <c r="G163" s="105" t="str">
        <f t="shared" si="6"/>
        <v/>
      </c>
      <c r="H163" s="33"/>
      <c r="I163" s="33"/>
      <c r="J163" s="33"/>
      <c r="K163" s="77"/>
      <c r="L163" s="33"/>
      <c r="M163" s="33"/>
      <c r="N163" s="23" t="str">
        <f t="shared" si="7"/>
        <v/>
      </c>
      <c r="O163" s="23">
        <f>Applications[[#This Row],[Nitrogen concentration in drain solution
 (ppm or mg/L)]]*Applications[[#This Row],[Volume of solution applied
(m3)]]/1000</f>
        <v>0</v>
      </c>
      <c r="P163" s="33"/>
      <c r="Q163" s="23" t="str">
        <f t="shared" si="8"/>
        <v/>
      </c>
      <c r="R163" s="98">
        <f>Applications[[#This Row],[Phosphorus concentration in drain solution
(ppm or mg/L)]]*Applications[[#This Row],[Volume of solution applied
(m3)]]/1000</f>
        <v>0</v>
      </c>
      <c r="S163" s="65"/>
      <c r="U163" s="99" t="str">
        <f>IF(Applications[[#This Row],[Date]]="","",Applications[[#This Row],[Date]])</f>
        <v/>
      </c>
      <c r="V163" s="18" t="str">
        <f>IF(Applications[[#This Row],[Volume of solution applied
(m3)]]="","",Applications[[#This Row],[Volume of solution applied
(m3)]])</f>
        <v/>
      </c>
      <c r="W163" s="18" t="str">
        <v/>
      </c>
      <c r="X163" s="18" t="str">
        <v/>
      </c>
      <c r="Y163" s="18">
        <v>0</v>
      </c>
      <c r="Z163" s="18">
        <v>0</v>
      </c>
    </row>
    <row r="164" spans="2:26" ht="35.1" customHeight="1" thickBot="1">
      <c r="B164" s="54">
        <v>159</v>
      </c>
      <c r="C164" s="32"/>
      <c r="D164" s="33"/>
      <c r="E164" s="104" t="str">
        <f>IF(Applications[[#This Row],[Block ID]]="","",(_xlfn.XLOOKUP(Applications[[#This Row],[Block ID]],Blocks[Block ID],Blocks[Area (ha)],"")))</f>
        <v/>
      </c>
      <c r="F164" s="33"/>
      <c r="G164" s="105" t="str">
        <f t="shared" si="6"/>
        <v/>
      </c>
      <c r="H164" s="33"/>
      <c r="I164" s="33"/>
      <c r="J164" s="33"/>
      <c r="K164" s="77"/>
      <c r="L164" s="33"/>
      <c r="M164" s="33"/>
      <c r="N164" s="23" t="str">
        <f t="shared" si="7"/>
        <v/>
      </c>
      <c r="O164" s="23">
        <f>Applications[[#This Row],[Nitrogen concentration in drain solution
 (ppm or mg/L)]]*Applications[[#This Row],[Volume of solution applied
(m3)]]/1000</f>
        <v>0</v>
      </c>
      <c r="P164" s="33"/>
      <c r="Q164" s="23" t="str">
        <f t="shared" si="8"/>
        <v/>
      </c>
      <c r="R164" s="98">
        <f>Applications[[#This Row],[Phosphorus concentration in drain solution
(ppm or mg/L)]]*Applications[[#This Row],[Volume of solution applied
(m3)]]/1000</f>
        <v>0</v>
      </c>
      <c r="S164" s="65"/>
      <c r="U164" s="99" t="str">
        <f>IF(Applications[[#This Row],[Date]]="","",Applications[[#This Row],[Date]])</f>
        <v/>
      </c>
      <c r="V164" s="18" t="str">
        <f>IF(Applications[[#This Row],[Volume of solution applied
(m3)]]="","",Applications[[#This Row],[Volume of solution applied
(m3)]])</f>
        <v/>
      </c>
      <c r="W164" s="18" t="str">
        <v/>
      </c>
      <c r="X164" s="18" t="str">
        <v/>
      </c>
      <c r="Y164" s="18">
        <v>0</v>
      </c>
      <c r="Z164" s="18">
        <v>0</v>
      </c>
    </row>
    <row r="165" spans="2:26" ht="35.1" customHeight="1" thickBot="1">
      <c r="B165" s="54">
        <v>160</v>
      </c>
      <c r="C165" s="32"/>
      <c r="D165" s="33"/>
      <c r="E165" s="104" t="str">
        <f>IF(Applications[[#This Row],[Block ID]]="","",(_xlfn.XLOOKUP(Applications[[#This Row],[Block ID]],Blocks[Block ID],Blocks[Area (ha)],"")))</f>
        <v/>
      </c>
      <c r="F165" s="33"/>
      <c r="G165" s="105" t="str">
        <f t="shared" si="6"/>
        <v/>
      </c>
      <c r="H165" s="33"/>
      <c r="I165" s="33"/>
      <c r="J165" s="33"/>
      <c r="K165" s="77"/>
      <c r="L165" s="33"/>
      <c r="M165" s="33"/>
      <c r="N165" s="23" t="str">
        <f t="shared" si="7"/>
        <v/>
      </c>
      <c r="O165" s="23">
        <f>Applications[[#This Row],[Nitrogen concentration in drain solution
 (ppm or mg/L)]]*Applications[[#This Row],[Volume of solution applied
(m3)]]/1000</f>
        <v>0</v>
      </c>
      <c r="P165" s="33"/>
      <c r="Q165" s="23" t="str">
        <f t="shared" si="8"/>
        <v/>
      </c>
      <c r="R165" s="98">
        <f>Applications[[#This Row],[Phosphorus concentration in drain solution
(ppm or mg/L)]]*Applications[[#This Row],[Volume of solution applied
(m3)]]/1000</f>
        <v>0</v>
      </c>
      <c r="S165" s="65"/>
      <c r="U165" s="99" t="str">
        <f>IF(Applications[[#This Row],[Date]]="","",Applications[[#This Row],[Date]])</f>
        <v/>
      </c>
      <c r="V165" s="18" t="str">
        <f>IF(Applications[[#This Row],[Volume of solution applied
(m3)]]="","",Applications[[#This Row],[Volume of solution applied
(m3)]])</f>
        <v/>
      </c>
      <c r="W165" s="18" t="str">
        <v/>
      </c>
      <c r="X165" s="18" t="str">
        <v/>
      </c>
      <c r="Y165" s="18">
        <v>0</v>
      </c>
      <c r="Z165" s="18">
        <v>0</v>
      </c>
    </row>
    <row r="166" spans="2:26" ht="35.1" customHeight="1" thickBot="1">
      <c r="B166" s="54">
        <v>161</v>
      </c>
      <c r="C166" s="32"/>
      <c r="D166" s="33"/>
      <c r="E166" s="104" t="str">
        <f>IF(Applications[[#This Row],[Block ID]]="","",(_xlfn.XLOOKUP(Applications[[#This Row],[Block ID]],Blocks[Block ID],Blocks[Area (ha)],"")))</f>
        <v/>
      </c>
      <c r="F166" s="33"/>
      <c r="G166" s="105" t="str">
        <f t="shared" si="6"/>
        <v/>
      </c>
      <c r="H166" s="33"/>
      <c r="I166" s="33"/>
      <c r="J166" s="33"/>
      <c r="K166" s="77"/>
      <c r="L166" s="33"/>
      <c r="M166" s="33"/>
      <c r="N166" s="23" t="str">
        <f t="shared" si="7"/>
        <v/>
      </c>
      <c r="O166" s="23">
        <f>Applications[[#This Row],[Nitrogen concentration in drain solution
 (ppm or mg/L)]]*Applications[[#This Row],[Volume of solution applied
(m3)]]/1000</f>
        <v>0</v>
      </c>
      <c r="P166" s="33"/>
      <c r="Q166" s="23" t="str">
        <f t="shared" si="8"/>
        <v/>
      </c>
      <c r="R166" s="98">
        <f>Applications[[#This Row],[Phosphorus concentration in drain solution
(ppm or mg/L)]]*Applications[[#This Row],[Volume of solution applied
(m3)]]/1000</f>
        <v>0</v>
      </c>
      <c r="S166" s="65"/>
      <c r="U166" s="99" t="str">
        <f>IF(Applications[[#This Row],[Date]]="","",Applications[[#This Row],[Date]])</f>
        <v/>
      </c>
      <c r="V166" s="18" t="str">
        <f>IF(Applications[[#This Row],[Volume of solution applied
(m3)]]="","",Applications[[#This Row],[Volume of solution applied
(m3)]])</f>
        <v/>
      </c>
      <c r="W166" s="18" t="str">
        <v/>
      </c>
      <c r="X166" s="18" t="str">
        <v/>
      </c>
      <c r="Y166" s="18">
        <v>0</v>
      </c>
      <c r="Z166" s="18">
        <v>0</v>
      </c>
    </row>
    <row r="167" spans="2:26" ht="35.1" customHeight="1" thickBot="1">
      <c r="B167" s="54">
        <v>162</v>
      </c>
      <c r="C167" s="32"/>
      <c r="D167" s="33"/>
      <c r="E167" s="104" t="str">
        <f>IF(Applications[[#This Row],[Block ID]]="","",(_xlfn.XLOOKUP(Applications[[#This Row],[Block ID]],Blocks[Block ID],Blocks[Area (ha)],"")))</f>
        <v/>
      </c>
      <c r="F167" s="33"/>
      <c r="G167" s="105" t="str">
        <f t="shared" si="6"/>
        <v/>
      </c>
      <c r="H167" s="33"/>
      <c r="I167" s="33"/>
      <c r="J167" s="33"/>
      <c r="K167" s="77"/>
      <c r="L167" s="33"/>
      <c r="M167" s="33"/>
      <c r="N167" s="23" t="str">
        <f t="shared" si="7"/>
        <v/>
      </c>
      <c r="O167" s="23">
        <f>Applications[[#This Row],[Nitrogen concentration in drain solution
 (ppm or mg/L)]]*Applications[[#This Row],[Volume of solution applied
(m3)]]/1000</f>
        <v>0</v>
      </c>
      <c r="P167" s="33"/>
      <c r="Q167" s="23" t="str">
        <f t="shared" si="8"/>
        <v/>
      </c>
      <c r="R167" s="98">
        <f>Applications[[#This Row],[Phosphorus concentration in drain solution
(ppm or mg/L)]]*Applications[[#This Row],[Volume of solution applied
(m3)]]/1000</f>
        <v>0</v>
      </c>
      <c r="S167" s="65"/>
      <c r="U167" s="99" t="str">
        <f>IF(Applications[[#This Row],[Date]]="","",Applications[[#This Row],[Date]])</f>
        <v/>
      </c>
      <c r="V167" s="18" t="str">
        <f>IF(Applications[[#This Row],[Volume of solution applied
(m3)]]="","",Applications[[#This Row],[Volume of solution applied
(m3)]])</f>
        <v/>
      </c>
      <c r="W167" s="18" t="str">
        <v/>
      </c>
      <c r="X167" s="18" t="str">
        <v/>
      </c>
      <c r="Y167" s="18">
        <v>0</v>
      </c>
      <c r="Z167" s="18">
        <v>0</v>
      </c>
    </row>
    <row r="168" spans="2:26" ht="35.1" customHeight="1" thickBot="1">
      <c r="B168" s="54">
        <v>163</v>
      </c>
      <c r="C168" s="32"/>
      <c r="D168" s="33"/>
      <c r="E168" s="104" t="str">
        <f>IF(Applications[[#This Row],[Block ID]]="","",(_xlfn.XLOOKUP(Applications[[#This Row],[Block ID]],Blocks[Block ID],Blocks[Area (ha)],"")))</f>
        <v/>
      </c>
      <c r="F168" s="33"/>
      <c r="G168" s="105" t="str">
        <f t="shared" si="6"/>
        <v/>
      </c>
      <c r="H168" s="33"/>
      <c r="I168" s="33"/>
      <c r="J168" s="33"/>
      <c r="K168" s="77"/>
      <c r="L168" s="33"/>
      <c r="M168" s="33"/>
      <c r="N168" s="23" t="str">
        <f t="shared" si="7"/>
        <v/>
      </c>
      <c r="O168" s="23">
        <f>Applications[[#This Row],[Nitrogen concentration in drain solution
 (ppm or mg/L)]]*Applications[[#This Row],[Volume of solution applied
(m3)]]/1000</f>
        <v>0</v>
      </c>
      <c r="P168" s="33"/>
      <c r="Q168" s="23" t="str">
        <f t="shared" si="8"/>
        <v/>
      </c>
      <c r="R168" s="98">
        <f>Applications[[#This Row],[Phosphorus concentration in drain solution
(ppm or mg/L)]]*Applications[[#This Row],[Volume of solution applied
(m3)]]/1000</f>
        <v>0</v>
      </c>
      <c r="S168" s="65"/>
      <c r="U168" s="99" t="str">
        <f>IF(Applications[[#This Row],[Date]]="","",Applications[[#This Row],[Date]])</f>
        <v/>
      </c>
      <c r="V168" s="18" t="str">
        <f>IF(Applications[[#This Row],[Volume of solution applied
(m3)]]="","",Applications[[#This Row],[Volume of solution applied
(m3)]])</f>
        <v/>
      </c>
      <c r="W168" s="18" t="str">
        <v/>
      </c>
      <c r="X168" s="18" t="str">
        <v/>
      </c>
      <c r="Y168" s="18">
        <v>0</v>
      </c>
      <c r="Z168" s="18">
        <v>0</v>
      </c>
    </row>
    <row r="169" spans="2:26" ht="35.1" customHeight="1" thickBot="1">
      <c r="B169" s="54">
        <v>164</v>
      </c>
      <c r="C169" s="32"/>
      <c r="D169" s="33"/>
      <c r="E169" s="104" t="str">
        <f>IF(Applications[[#This Row],[Block ID]]="","",(_xlfn.XLOOKUP(Applications[[#This Row],[Block ID]],Blocks[Block ID],Blocks[Area (ha)],"")))</f>
        <v/>
      </c>
      <c r="F169" s="33"/>
      <c r="G169" s="105" t="str">
        <f t="shared" si="6"/>
        <v/>
      </c>
      <c r="H169" s="33"/>
      <c r="I169" s="33"/>
      <c r="J169" s="33"/>
      <c r="K169" s="77"/>
      <c r="L169" s="33"/>
      <c r="M169" s="33"/>
      <c r="N169" s="23" t="str">
        <f t="shared" si="7"/>
        <v/>
      </c>
      <c r="O169" s="23">
        <f>Applications[[#This Row],[Nitrogen concentration in drain solution
 (ppm or mg/L)]]*Applications[[#This Row],[Volume of solution applied
(m3)]]/1000</f>
        <v>0</v>
      </c>
      <c r="P169" s="33"/>
      <c r="Q169" s="23" t="str">
        <f t="shared" si="8"/>
        <v/>
      </c>
      <c r="R169" s="98">
        <f>Applications[[#This Row],[Phosphorus concentration in drain solution
(ppm or mg/L)]]*Applications[[#This Row],[Volume of solution applied
(m3)]]/1000</f>
        <v>0</v>
      </c>
      <c r="S169" s="65"/>
      <c r="U169" s="99" t="str">
        <f>IF(Applications[[#This Row],[Date]]="","",Applications[[#This Row],[Date]])</f>
        <v/>
      </c>
      <c r="V169" s="18" t="str">
        <f>IF(Applications[[#This Row],[Volume of solution applied
(m3)]]="","",Applications[[#This Row],[Volume of solution applied
(m3)]])</f>
        <v/>
      </c>
      <c r="W169" s="18" t="str">
        <v/>
      </c>
      <c r="X169" s="18" t="str">
        <v/>
      </c>
      <c r="Y169" s="18">
        <v>0</v>
      </c>
      <c r="Z169" s="18">
        <v>0</v>
      </c>
    </row>
    <row r="170" spans="2:26" ht="35.1" customHeight="1" thickBot="1">
      <c r="B170" s="54">
        <v>165</v>
      </c>
      <c r="C170" s="32"/>
      <c r="D170" s="33"/>
      <c r="E170" s="104" t="str">
        <f>IF(Applications[[#This Row],[Block ID]]="","",(_xlfn.XLOOKUP(Applications[[#This Row],[Block ID]],Blocks[Block ID],Blocks[Area (ha)],"")))</f>
        <v/>
      </c>
      <c r="F170" s="33"/>
      <c r="G170" s="105" t="str">
        <f t="shared" si="6"/>
        <v/>
      </c>
      <c r="H170" s="33"/>
      <c r="I170" s="33"/>
      <c r="J170" s="33"/>
      <c r="K170" s="77"/>
      <c r="L170" s="33"/>
      <c r="M170" s="33"/>
      <c r="N170" s="23" t="str">
        <f t="shared" si="7"/>
        <v/>
      </c>
      <c r="O170" s="23">
        <f>Applications[[#This Row],[Nitrogen concentration in drain solution
 (ppm or mg/L)]]*Applications[[#This Row],[Volume of solution applied
(m3)]]/1000</f>
        <v>0</v>
      </c>
      <c r="P170" s="33"/>
      <c r="Q170" s="23" t="str">
        <f t="shared" si="8"/>
        <v/>
      </c>
      <c r="R170" s="98">
        <f>Applications[[#This Row],[Phosphorus concentration in drain solution
(ppm or mg/L)]]*Applications[[#This Row],[Volume of solution applied
(m3)]]/1000</f>
        <v>0</v>
      </c>
      <c r="S170" s="65"/>
      <c r="U170" s="99" t="str">
        <f>IF(Applications[[#This Row],[Date]]="","",Applications[[#This Row],[Date]])</f>
        <v/>
      </c>
      <c r="V170" s="18" t="str">
        <f>IF(Applications[[#This Row],[Volume of solution applied
(m3)]]="","",Applications[[#This Row],[Volume of solution applied
(m3)]])</f>
        <v/>
      </c>
      <c r="W170" s="18" t="str">
        <v/>
      </c>
      <c r="X170" s="18" t="str">
        <v/>
      </c>
      <c r="Y170" s="18">
        <v>0</v>
      </c>
      <c r="Z170" s="18">
        <v>0</v>
      </c>
    </row>
    <row r="171" spans="2:26" ht="35.1" customHeight="1" thickBot="1">
      <c r="B171" s="54">
        <v>166</v>
      </c>
      <c r="C171" s="32"/>
      <c r="D171" s="33"/>
      <c r="E171" s="104" t="str">
        <f>IF(Applications[[#This Row],[Block ID]]="","",(_xlfn.XLOOKUP(Applications[[#This Row],[Block ID]],Blocks[Block ID],Blocks[Area (ha)],"")))</f>
        <v/>
      </c>
      <c r="F171" s="33"/>
      <c r="G171" s="105" t="str">
        <f t="shared" si="6"/>
        <v/>
      </c>
      <c r="H171" s="33"/>
      <c r="I171" s="33"/>
      <c r="J171" s="33"/>
      <c r="K171" s="77"/>
      <c r="L171" s="33"/>
      <c r="M171" s="33"/>
      <c r="N171" s="23" t="str">
        <f t="shared" si="7"/>
        <v/>
      </c>
      <c r="O171" s="23">
        <f>Applications[[#This Row],[Nitrogen concentration in drain solution
 (ppm or mg/L)]]*Applications[[#This Row],[Volume of solution applied
(m3)]]/1000</f>
        <v>0</v>
      </c>
      <c r="P171" s="33"/>
      <c r="Q171" s="23" t="str">
        <f t="shared" si="8"/>
        <v/>
      </c>
      <c r="R171" s="98">
        <f>Applications[[#This Row],[Phosphorus concentration in drain solution
(ppm or mg/L)]]*Applications[[#This Row],[Volume of solution applied
(m3)]]/1000</f>
        <v>0</v>
      </c>
      <c r="S171" s="65"/>
      <c r="U171" s="99" t="str">
        <f>IF(Applications[[#This Row],[Date]]="","",Applications[[#This Row],[Date]])</f>
        <v/>
      </c>
      <c r="V171" s="18" t="str">
        <f>IF(Applications[[#This Row],[Volume of solution applied
(m3)]]="","",Applications[[#This Row],[Volume of solution applied
(m3)]])</f>
        <v/>
      </c>
      <c r="W171" s="18" t="str">
        <v/>
      </c>
      <c r="X171" s="18" t="str">
        <v/>
      </c>
      <c r="Y171" s="18">
        <v>0</v>
      </c>
      <c r="Z171" s="18">
        <v>0</v>
      </c>
    </row>
    <row r="172" spans="2:26" ht="35.1" customHeight="1" thickBot="1">
      <c r="B172" s="54">
        <v>167</v>
      </c>
      <c r="C172" s="32"/>
      <c r="D172" s="33"/>
      <c r="E172" s="104" t="str">
        <f>IF(Applications[[#This Row],[Block ID]]="","",(_xlfn.XLOOKUP(Applications[[#This Row],[Block ID]],Blocks[Block ID],Blocks[Area (ha)],"")))</f>
        <v/>
      </c>
      <c r="F172" s="33"/>
      <c r="G172" s="105" t="str">
        <f t="shared" si="6"/>
        <v/>
      </c>
      <c r="H172" s="33"/>
      <c r="I172" s="33"/>
      <c r="J172" s="33"/>
      <c r="K172" s="77"/>
      <c r="L172" s="33"/>
      <c r="M172" s="33"/>
      <c r="N172" s="23" t="str">
        <f t="shared" si="7"/>
        <v/>
      </c>
      <c r="O172" s="23">
        <f>Applications[[#This Row],[Nitrogen concentration in drain solution
 (ppm or mg/L)]]*Applications[[#This Row],[Volume of solution applied
(m3)]]/1000</f>
        <v>0</v>
      </c>
      <c r="P172" s="33"/>
      <c r="Q172" s="23" t="str">
        <f t="shared" si="8"/>
        <v/>
      </c>
      <c r="R172" s="98">
        <f>Applications[[#This Row],[Phosphorus concentration in drain solution
(ppm or mg/L)]]*Applications[[#This Row],[Volume of solution applied
(m3)]]/1000</f>
        <v>0</v>
      </c>
      <c r="S172" s="65"/>
      <c r="U172" s="99" t="str">
        <f>IF(Applications[[#This Row],[Date]]="","",Applications[[#This Row],[Date]])</f>
        <v/>
      </c>
      <c r="V172" s="18" t="str">
        <f>IF(Applications[[#This Row],[Volume of solution applied
(m3)]]="","",Applications[[#This Row],[Volume of solution applied
(m3)]])</f>
        <v/>
      </c>
      <c r="W172" s="18" t="str">
        <v/>
      </c>
      <c r="X172" s="18" t="str">
        <v/>
      </c>
      <c r="Y172" s="18">
        <v>0</v>
      </c>
      <c r="Z172" s="18">
        <v>0</v>
      </c>
    </row>
    <row r="173" spans="2:26" ht="35.1" customHeight="1" thickBot="1">
      <c r="B173" s="54">
        <v>168</v>
      </c>
      <c r="C173" s="32"/>
      <c r="D173" s="33"/>
      <c r="E173" s="104" t="str">
        <f>IF(Applications[[#This Row],[Block ID]]="","",(_xlfn.XLOOKUP(Applications[[#This Row],[Block ID]],Blocks[Block ID],Blocks[Area (ha)],"")))</f>
        <v/>
      </c>
      <c r="F173" s="33"/>
      <c r="G173" s="105" t="str">
        <f t="shared" si="6"/>
        <v/>
      </c>
      <c r="H173" s="33"/>
      <c r="I173" s="33"/>
      <c r="J173" s="33"/>
      <c r="K173" s="77"/>
      <c r="L173" s="33"/>
      <c r="M173" s="33"/>
      <c r="N173" s="23" t="str">
        <f t="shared" si="7"/>
        <v/>
      </c>
      <c r="O173" s="23">
        <f>Applications[[#This Row],[Nitrogen concentration in drain solution
 (ppm or mg/L)]]*Applications[[#This Row],[Volume of solution applied
(m3)]]/1000</f>
        <v>0</v>
      </c>
      <c r="P173" s="33"/>
      <c r="Q173" s="23" t="str">
        <f t="shared" si="8"/>
        <v/>
      </c>
      <c r="R173" s="98">
        <f>Applications[[#This Row],[Phosphorus concentration in drain solution
(ppm or mg/L)]]*Applications[[#This Row],[Volume of solution applied
(m3)]]/1000</f>
        <v>0</v>
      </c>
      <c r="S173" s="65"/>
      <c r="U173" s="99" t="str">
        <f>IF(Applications[[#This Row],[Date]]="","",Applications[[#This Row],[Date]])</f>
        <v/>
      </c>
      <c r="V173" s="18" t="str">
        <f>IF(Applications[[#This Row],[Volume of solution applied
(m3)]]="","",Applications[[#This Row],[Volume of solution applied
(m3)]])</f>
        <v/>
      </c>
      <c r="W173" s="18" t="str">
        <v/>
      </c>
      <c r="X173" s="18" t="str">
        <v/>
      </c>
      <c r="Y173" s="18">
        <v>0</v>
      </c>
      <c r="Z173" s="18">
        <v>0</v>
      </c>
    </row>
    <row r="174" spans="2:26" ht="35.1" customHeight="1" thickBot="1">
      <c r="B174" s="54">
        <v>169</v>
      </c>
      <c r="C174" s="32"/>
      <c r="D174" s="33"/>
      <c r="E174" s="104" t="str">
        <f>IF(Applications[[#This Row],[Block ID]]="","",(_xlfn.XLOOKUP(Applications[[#This Row],[Block ID]],Blocks[Block ID],Blocks[Area (ha)],"")))</f>
        <v/>
      </c>
      <c r="F174" s="33"/>
      <c r="G174" s="105" t="str">
        <f t="shared" si="6"/>
        <v/>
      </c>
      <c r="H174" s="33"/>
      <c r="I174" s="33"/>
      <c r="J174" s="33"/>
      <c r="K174" s="77"/>
      <c r="L174" s="33"/>
      <c r="M174" s="33"/>
      <c r="N174" s="23" t="str">
        <f t="shared" si="7"/>
        <v/>
      </c>
      <c r="O174" s="23">
        <f>Applications[[#This Row],[Nitrogen concentration in drain solution
 (ppm or mg/L)]]*Applications[[#This Row],[Volume of solution applied
(m3)]]/1000</f>
        <v>0</v>
      </c>
      <c r="P174" s="33"/>
      <c r="Q174" s="23" t="str">
        <f t="shared" si="8"/>
        <v/>
      </c>
      <c r="R174" s="98">
        <f>Applications[[#This Row],[Phosphorus concentration in drain solution
(ppm or mg/L)]]*Applications[[#This Row],[Volume of solution applied
(m3)]]/1000</f>
        <v>0</v>
      </c>
      <c r="S174" s="65"/>
      <c r="U174" s="99" t="str">
        <f>IF(Applications[[#This Row],[Date]]="","",Applications[[#This Row],[Date]])</f>
        <v/>
      </c>
      <c r="V174" s="18" t="str">
        <f>IF(Applications[[#This Row],[Volume of solution applied
(m3)]]="","",Applications[[#This Row],[Volume of solution applied
(m3)]])</f>
        <v/>
      </c>
      <c r="W174" s="18" t="str">
        <v/>
      </c>
      <c r="X174" s="18" t="str">
        <v/>
      </c>
      <c r="Y174" s="18">
        <v>0</v>
      </c>
      <c r="Z174" s="18">
        <v>0</v>
      </c>
    </row>
    <row r="175" spans="2:26" ht="35.1" customHeight="1" thickBot="1">
      <c r="B175" s="54">
        <v>170</v>
      </c>
      <c r="C175" s="32"/>
      <c r="D175" s="33"/>
      <c r="E175" s="104" t="str">
        <f>IF(Applications[[#This Row],[Block ID]]="","",(_xlfn.XLOOKUP(Applications[[#This Row],[Block ID]],Blocks[Block ID],Blocks[Area (ha)],"")))</f>
        <v/>
      </c>
      <c r="F175" s="33"/>
      <c r="G175" s="105" t="str">
        <f t="shared" si="6"/>
        <v/>
      </c>
      <c r="H175" s="33"/>
      <c r="I175" s="33"/>
      <c r="J175" s="33"/>
      <c r="K175" s="77"/>
      <c r="L175" s="33"/>
      <c r="M175" s="33"/>
      <c r="N175" s="23" t="str">
        <f t="shared" si="7"/>
        <v/>
      </c>
      <c r="O175" s="23">
        <f>Applications[[#This Row],[Nitrogen concentration in drain solution
 (ppm or mg/L)]]*Applications[[#This Row],[Volume of solution applied
(m3)]]/1000</f>
        <v>0</v>
      </c>
      <c r="P175" s="33"/>
      <c r="Q175" s="23" t="str">
        <f t="shared" si="8"/>
        <v/>
      </c>
      <c r="R175" s="98">
        <f>Applications[[#This Row],[Phosphorus concentration in drain solution
(ppm or mg/L)]]*Applications[[#This Row],[Volume of solution applied
(m3)]]/1000</f>
        <v>0</v>
      </c>
      <c r="S175" s="65"/>
      <c r="U175" s="99" t="str">
        <f>IF(Applications[[#This Row],[Date]]="","",Applications[[#This Row],[Date]])</f>
        <v/>
      </c>
      <c r="V175" s="18" t="str">
        <f>IF(Applications[[#This Row],[Volume of solution applied
(m3)]]="","",Applications[[#This Row],[Volume of solution applied
(m3)]])</f>
        <v/>
      </c>
      <c r="W175" s="18" t="str">
        <v/>
      </c>
      <c r="X175" s="18" t="str">
        <v/>
      </c>
      <c r="Y175" s="18">
        <v>0</v>
      </c>
      <c r="Z175" s="18">
        <v>0</v>
      </c>
    </row>
    <row r="176" spans="2:26" ht="35.1" customHeight="1" thickBot="1">
      <c r="B176" s="54">
        <v>171</v>
      </c>
      <c r="C176" s="32"/>
      <c r="D176" s="33"/>
      <c r="E176" s="104" t="str">
        <f>IF(Applications[[#This Row],[Block ID]]="","",(_xlfn.XLOOKUP(Applications[[#This Row],[Block ID]],Blocks[Block ID],Blocks[Area (ha)],"")))</f>
        <v/>
      </c>
      <c r="F176" s="33"/>
      <c r="G176" s="105" t="str">
        <f t="shared" si="6"/>
        <v/>
      </c>
      <c r="H176" s="33"/>
      <c r="I176" s="33"/>
      <c r="J176" s="33"/>
      <c r="K176" s="77"/>
      <c r="L176" s="33"/>
      <c r="M176" s="33"/>
      <c r="N176" s="23" t="str">
        <f t="shared" si="7"/>
        <v/>
      </c>
      <c r="O176" s="23">
        <f>Applications[[#This Row],[Nitrogen concentration in drain solution
 (ppm or mg/L)]]*Applications[[#This Row],[Volume of solution applied
(m3)]]/1000</f>
        <v>0</v>
      </c>
      <c r="P176" s="33"/>
      <c r="Q176" s="23" t="str">
        <f t="shared" si="8"/>
        <v/>
      </c>
      <c r="R176" s="98">
        <f>Applications[[#This Row],[Phosphorus concentration in drain solution
(ppm or mg/L)]]*Applications[[#This Row],[Volume of solution applied
(m3)]]/1000</f>
        <v>0</v>
      </c>
      <c r="S176" s="65"/>
      <c r="U176" s="99" t="str">
        <f>IF(Applications[[#This Row],[Date]]="","",Applications[[#This Row],[Date]])</f>
        <v/>
      </c>
      <c r="V176" s="18" t="str">
        <f>IF(Applications[[#This Row],[Volume of solution applied
(m3)]]="","",Applications[[#This Row],[Volume of solution applied
(m3)]])</f>
        <v/>
      </c>
      <c r="W176" s="18" t="str">
        <v/>
      </c>
      <c r="X176" s="18" t="str">
        <v/>
      </c>
      <c r="Y176" s="18">
        <v>0</v>
      </c>
      <c r="Z176" s="18">
        <v>0</v>
      </c>
    </row>
    <row r="177" spans="2:26" ht="35.1" customHeight="1" thickBot="1">
      <c r="B177" s="54">
        <v>172</v>
      </c>
      <c r="C177" s="32"/>
      <c r="D177" s="33"/>
      <c r="E177" s="104" t="str">
        <f>IF(Applications[[#This Row],[Block ID]]="","",(_xlfn.XLOOKUP(Applications[[#This Row],[Block ID]],Blocks[Block ID],Blocks[Area (ha)],"")))</f>
        <v/>
      </c>
      <c r="F177" s="33"/>
      <c r="G177" s="105" t="str">
        <f t="shared" si="6"/>
        <v/>
      </c>
      <c r="H177" s="33"/>
      <c r="I177" s="33"/>
      <c r="J177" s="33"/>
      <c r="K177" s="77"/>
      <c r="L177" s="33"/>
      <c r="M177" s="33"/>
      <c r="N177" s="23" t="str">
        <f t="shared" si="7"/>
        <v/>
      </c>
      <c r="O177" s="23">
        <f>Applications[[#This Row],[Nitrogen concentration in drain solution
 (ppm or mg/L)]]*Applications[[#This Row],[Volume of solution applied
(m3)]]/1000</f>
        <v>0</v>
      </c>
      <c r="P177" s="33"/>
      <c r="Q177" s="23" t="str">
        <f t="shared" si="8"/>
        <v/>
      </c>
      <c r="R177" s="98">
        <f>Applications[[#This Row],[Phosphorus concentration in drain solution
(ppm or mg/L)]]*Applications[[#This Row],[Volume of solution applied
(m3)]]/1000</f>
        <v>0</v>
      </c>
      <c r="S177" s="65"/>
      <c r="U177" s="99" t="str">
        <f>IF(Applications[[#This Row],[Date]]="","",Applications[[#This Row],[Date]])</f>
        <v/>
      </c>
      <c r="V177" s="18" t="str">
        <f>IF(Applications[[#This Row],[Volume of solution applied
(m3)]]="","",Applications[[#This Row],[Volume of solution applied
(m3)]])</f>
        <v/>
      </c>
      <c r="W177" s="18" t="str">
        <v/>
      </c>
      <c r="X177" s="18" t="str">
        <v/>
      </c>
      <c r="Y177" s="18">
        <v>0</v>
      </c>
      <c r="Z177" s="18">
        <v>0</v>
      </c>
    </row>
    <row r="178" spans="2:26" ht="35.1" customHeight="1" thickBot="1">
      <c r="B178" s="54">
        <v>173</v>
      </c>
      <c r="C178" s="32"/>
      <c r="D178" s="33"/>
      <c r="E178" s="104" t="str">
        <f>IF(Applications[[#This Row],[Block ID]]="","",(_xlfn.XLOOKUP(Applications[[#This Row],[Block ID]],Blocks[Block ID],Blocks[Area (ha)],"")))</f>
        <v/>
      </c>
      <c r="F178" s="33"/>
      <c r="G178" s="105" t="str">
        <f t="shared" si="6"/>
        <v/>
      </c>
      <c r="H178" s="33"/>
      <c r="I178" s="33"/>
      <c r="J178" s="33"/>
      <c r="K178" s="77"/>
      <c r="L178" s="33"/>
      <c r="M178" s="33"/>
      <c r="N178" s="23" t="str">
        <f t="shared" si="7"/>
        <v/>
      </c>
      <c r="O178" s="23">
        <f>Applications[[#This Row],[Nitrogen concentration in drain solution
 (ppm or mg/L)]]*Applications[[#This Row],[Volume of solution applied
(m3)]]/1000</f>
        <v>0</v>
      </c>
      <c r="P178" s="33"/>
      <c r="Q178" s="23" t="str">
        <f t="shared" si="8"/>
        <v/>
      </c>
      <c r="R178" s="98">
        <f>Applications[[#This Row],[Phosphorus concentration in drain solution
(ppm or mg/L)]]*Applications[[#This Row],[Volume of solution applied
(m3)]]/1000</f>
        <v>0</v>
      </c>
      <c r="S178" s="65"/>
      <c r="U178" s="99" t="str">
        <f>IF(Applications[[#This Row],[Date]]="","",Applications[[#This Row],[Date]])</f>
        <v/>
      </c>
      <c r="V178" s="18" t="str">
        <f>IF(Applications[[#This Row],[Volume of solution applied
(m3)]]="","",Applications[[#This Row],[Volume of solution applied
(m3)]])</f>
        <v/>
      </c>
      <c r="W178" s="18" t="str">
        <v/>
      </c>
      <c r="X178" s="18" t="str">
        <v/>
      </c>
      <c r="Y178" s="18">
        <v>0</v>
      </c>
      <c r="Z178" s="18">
        <v>0</v>
      </c>
    </row>
    <row r="179" spans="2:26" ht="35.1" customHeight="1" thickBot="1">
      <c r="B179" s="54">
        <v>174</v>
      </c>
      <c r="C179" s="32"/>
      <c r="D179" s="33"/>
      <c r="E179" s="104" t="str">
        <f>IF(Applications[[#This Row],[Block ID]]="","",(_xlfn.XLOOKUP(Applications[[#This Row],[Block ID]],Blocks[Block ID],Blocks[Area (ha)],"")))</f>
        <v/>
      </c>
      <c r="F179" s="33"/>
      <c r="G179" s="105" t="str">
        <f t="shared" si="6"/>
        <v/>
      </c>
      <c r="H179" s="33"/>
      <c r="I179" s="33"/>
      <c r="J179" s="33"/>
      <c r="K179" s="77"/>
      <c r="L179" s="33"/>
      <c r="M179" s="33"/>
      <c r="N179" s="23" t="str">
        <f t="shared" si="7"/>
        <v/>
      </c>
      <c r="O179" s="23">
        <f>Applications[[#This Row],[Nitrogen concentration in drain solution
 (ppm or mg/L)]]*Applications[[#This Row],[Volume of solution applied
(m3)]]/1000</f>
        <v>0</v>
      </c>
      <c r="P179" s="33"/>
      <c r="Q179" s="23" t="str">
        <f t="shared" si="8"/>
        <v/>
      </c>
      <c r="R179" s="98">
        <f>Applications[[#This Row],[Phosphorus concentration in drain solution
(ppm or mg/L)]]*Applications[[#This Row],[Volume of solution applied
(m3)]]/1000</f>
        <v>0</v>
      </c>
      <c r="S179" s="65"/>
      <c r="U179" s="99" t="str">
        <f>IF(Applications[[#This Row],[Date]]="","",Applications[[#This Row],[Date]])</f>
        <v/>
      </c>
      <c r="V179" s="18" t="str">
        <f>IF(Applications[[#This Row],[Volume of solution applied
(m3)]]="","",Applications[[#This Row],[Volume of solution applied
(m3)]])</f>
        <v/>
      </c>
      <c r="W179" s="18" t="str">
        <v/>
      </c>
      <c r="X179" s="18" t="str">
        <v/>
      </c>
      <c r="Y179" s="18">
        <v>0</v>
      </c>
      <c r="Z179" s="18">
        <v>0</v>
      </c>
    </row>
    <row r="180" spans="2:26" ht="35.1" customHeight="1" thickBot="1">
      <c r="B180" s="54">
        <v>175</v>
      </c>
      <c r="C180" s="32"/>
      <c r="D180" s="33"/>
      <c r="E180" s="104" t="str">
        <f>IF(Applications[[#This Row],[Block ID]]="","",(_xlfn.XLOOKUP(Applications[[#This Row],[Block ID]],Blocks[Block ID],Blocks[Area (ha)],"")))</f>
        <v/>
      </c>
      <c r="F180" s="33"/>
      <c r="G180" s="105" t="str">
        <f t="shared" si="6"/>
        <v/>
      </c>
      <c r="H180" s="33"/>
      <c r="I180" s="33"/>
      <c r="J180" s="33"/>
      <c r="K180" s="77"/>
      <c r="L180" s="33"/>
      <c r="M180" s="33"/>
      <c r="N180" s="23" t="str">
        <f t="shared" si="7"/>
        <v/>
      </c>
      <c r="O180" s="23">
        <f>Applications[[#This Row],[Nitrogen concentration in drain solution
 (ppm or mg/L)]]*Applications[[#This Row],[Volume of solution applied
(m3)]]/1000</f>
        <v>0</v>
      </c>
      <c r="P180" s="33"/>
      <c r="Q180" s="23" t="str">
        <f t="shared" si="8"/>
        <v/>
      </c>
      <c r="R180" s="98">
        <f>Applications[[#This Row],[Phosphorus concentration in drain solution
(ppm or mg/L)]]*Applications[[#This Row],[Volume of solution applied
(m3)]]/1000</f>
        <v>0</v>
      </c>
      <c r="S180" s="65"/>
      <c r="U180" s="99" t="str">
        <f>IF(Applications[[#This Row],[Date]]="","",Applications[[#This Row],[Date]])</f>
        <v/>
      </c>
      <c r="V180" s="18" t="str">
        <f>IF(Applications[[#This Row],[Volume of solution applied
(m3)]]="","",Applications[[#This Row],[Volume of solution applied
(m3)]])</f>
        <v/>
      </c>
      <c r="W180" s="18" t="str">
        <v/>
      </c>
      <c r="X180" s="18" t="str">
        <v/>
      </c>
      <c r="Y180" s="18">
        <v>0</v>
      </c>
      <c r="Z180" s="18">
        <v>0</v>
      </c>
    </row>
    <row r="181" spans="2:26" ht="35.1" customHeight="1" thickBot="1">
      <c r="B181" s="54">
        <v>176</v>
      </c>
      <c r="C181" s="32"/>
      <c r="D181" s="33"/>
      <c r="E181" s="104" t="str">
        <f>IF(Applications[[#This Row],[Block ID]]="","",(_xlfn.XLOOKUP(Applications[[#This Row],[Block ID]],Blocks[Block ID],Blocks[Area (ha)],"")))</f>
        <v/>
      </c>
      <c r="F181" s="33"/>
      <c r="G181" s="105" t="str">
        <f t="shared" si="6"/>
        <v/>
      </c>
      <c r="H181" s="33"/>
      <c r="I181" s="33"/>
      <c r="J181" s="33"/>
      <c r="K181" s="77"/>
      <c r="L181" s="33"/>
      <c r="M181" s="33"/>
      <c r="N181" s="23" t="str">
        <f t="shared" si="7"/>
        <v/>
      </c>
      <c r="O181" s="23">
        <f>Applications[[#This Row],[Nitrogen concentration in drain solution
 (ppm or mg/L)]]*Applications[[#This Row],[Volume of solution applied
(m3)]]/1000</f>
        <v>0</v>
      </c>
      <c r="P181" s="33"/>
      <c r="Q181" s="23" t="str">
        <f t="shared" si="8"/>
        <v/>
      </c>
      <c r="R181" s="98">
        <f>Applications[[#This Row],[Phosphorus concentration in drain solution
(ppm or mg/L)]]*Applications[[#This Row],[Volume of solution applied
(m3)]]/1000</f>
        <v>0</v>
      </c>
      <c r="S181" s="65"/>
      <c r="U181" s="99" t="str">
        <f>IF(Applications[[#This Row],[Date]]="","",Applications[[#This Row],[Date]])</f>
        <v/>
      </c>
      <c r="V181" s="18" t="str">
        <f>IF(Applications[[#This Row],[Volume of solution applied
(m3)]]="","",Applications[[#This Row],[Volume of solution applied
(m3)]])</f>
        <v/>
      </c>
      <c r="W181" s="18" t="str">
        <v/>
      </c>
      <c r="X181" s="18" t="str">
        <v/>
      </c>
      <c r="Y181" s="18">
        <v>0</v>
      </c>
      <c r="Z181" s="18">
        <v>0</v>
      </c>
    </row>
    <row r="182" spans="2:26" ht="35.1" customHeight="1" thickBot="1">
      <c r="B182" s="54">
        <v>177</v>
      </c>
      <c r="C182" s="32"/>
      <c r="D182" s="33"/>
      <c r="E182" s="104" t="str">
        <f>IF(Applications[[#This Row],[Block ID]]="","",(_xlfn.XLOOKUP(Applications[[#This Row],[Block ID]],Blocks[Block ID],Blocks[Area (ha)],"")))</f>
        <v/>
      </c>
      <c r="F182" s="33"/>
      <c r="G182" s="105" t="str">
        <f t="shared" si="6"/>
        <v/>
      </c>
      <c r="H182" s="33"/>
      <c r="I182" s="33"/>
      <c r="J182" s="33"/>
      <c r="K182" s="77"/>
      <c r="L182" s="33"/>
      <c r="M182" s="33"/>
      <c r="N182" s="23" t="str">
        <f t="shared" si="7"/>
        <v/>
      </c>
      <c r="O182" s="23">
        <f>Applications[[#This Row],[Nitrogen concentration in drain solution
 (ppm or mg/L)]]*Applications[[#This Row],[Volume of solution applied
(m3)]]/1000</f>
        <v>0</v>
      </c>
      <c r="P182" s="33"/>
      <c r="Q182" s="23" t="str">
        <f t="shared" si="8"/>
        <v/>
      </c>
      <c r="R182" s="98">
        <f>Applications[[#This Row],[Phosphorus concentration in drain solution
(ppm or mg/L)]]*Applications[[#This Row],[Volume of solution applied
(m3)]]/1000</f>
        <v>0</v>
      </c>
      <c r="S182" s="65"/>
      <c r="U182" s="99" t="str">
        <f>IF(Applications[[#This Row],[Date]]="","",Applications[[#This Row],[Date]])</f>
        <v/>
      </c>
      <c r="V182" s="18" t="str">
        <f>IF(Applications[[#This Row],[Volume of solution applied
(m3)]]="","",Applications[[#This Row],[Volume of solution applied
(m3)]])</f>
        <v/>
      </c>
      <c r="W182" s="18" t="str">
        <v/>
      </c>
      <c r="X182" s="18" t="str">
        <v/>
      </c>
      <c r="Y182" s="18">
        <v>0</v>
      </c>
      <c r="Z182" s="18">
        <v>0</v>
      </c>
    </row>
    <row r="183" spans="2:26" ht="35.1" customHeight="1" thickBot="1">
      <c r="B183" s="54">
        <v>178</v>
      </c>
      <c r="C183" s="32"/>
      <c r="D183" s="33"/>
      <c r="E183" s="104" t="str">
        <f>IF(Applications[[#This Row],[Block ID]]="","",(_xlfn.XLOOKUP(Applications[[#This Row],[Block ID]],Blocks[Block ID],Blocks[Area (ha)],"")))</f>
        <v/>
      </c>
      <c r="F183" s="33"/>
      <c r="G183" s="105" t="str">
        <f t="shared" si="6"/>
        <v/>
      </c>
      <c r="H183" s="33"/>
      <c r="I183" s="33"/>
      <c r="J183" s="33"/>
      <c r="K183" s="77"/>
      <c r="L183" s="33"/>
      <c r="M183" s="33"/>
      <c r="N183" s="23" t="str">
        <f t="shared" si="7"/>
        <v/>
      </c>
      <c r="O183" s="23">
        <f>Applications[[#This Row],[Nitrogen concentration in drain solution
 (ppm or mg/L)]]*Applications[[#This Row],[Volume of solution applied
(m3)]]/1000</f>
        <v>0</v>
      </c>
      <c r="P183" s="33"/>
      <c r="Q183" s="23" t="str">
        <f t="shared" si="8"/>
        <v/>
      </c>
      <c r="R183" s="98">
        <f>Applications[[#This Row],[Phosphorus concentration in drain solution
(ppm or mg/L)]]*Applications[[#This Row],[Volume of solution applied
(m3)]]/1000</f>
        <v>0</v>
      </c>
      <c r="S183" s="65"/>
      <c r="U183" s="99" t="str">
        <f>IF(Applications[[#This Row],[Date]]="","",Applications[[#This Row],[Date]])</f>
        <v/>
      </c>
      <c r="V183" s="18" t="str">
        <f>IF(Applications[[#This Row],[Volume of solution applied
(m3)]]="","",Applications[[#This Row],[Volume of solution applied
(m3)]])</f>
        <v/>
      </c>
      <c r="W183" s="18" t="str">
        <v/>
      </c>
      <c r="X183" s="18" t="str">
        <v/>
      </c>
      <c r="Y183" s="18">
        <v>0</v>
      </c>
      <c r="Z183" s="18">
        <v>0</v>
      </c>
    </row>
    <row r="184" spans="2:26" ht="35.1" customHeight="1" thickBot="1">
      <c r="B184" s="54">
        <v>179</v>
      </c>
      <c r="C184" s="32"/>
      <c r="D184" s="33"/>
      <c r="E184" s="104" t="str">
        <f>IF(Applications[[#This Row],[Block ID]]="","",(_xlfn.XLOOKUP(Applications[[#This Row],[Block ID]],Blocks[Block ID],Blocks[Area (ha)],"")))</f>
        <v/>
      </c>
      <c r="F184" s="33"/>
      <c r="G184" s="105" t="str">
        <f t="shared" si="6"/>
        <v/>
      </c>
      <c r="H184" s="33"/>
      <c r="I184" s="33"/>
      <c r="J184" s="33"/>
      <c r="K184" s="77"/>
      <c r="L184" s="33"/>
      <c r="M184" s="33"/>
      <c r="N184" s="23" t="str">
        <f t="shared" si="7"/>
        <v/>
      </c>
      <c r="O184" s="23">
        <f>Applications[[#This Row],[Nitrogen concentration in drain solution
 (ppm or mg/L)]]*Applications[[#This Row],[Volume of solution applied
(m3)]]/1000</f>
        <v>0</v>
      </c>
      <c r="P184" s="33"/>
      <c r="Q184" s="23" t="str">
        <f t="shared" si="8"/>
        <v/>
      </c>
      <c r="R184" s="98">
        <f>Applications[[#This Row],[Phosphorus concentration in drain solution
(ppm or mg/L)]]*Applications[[#This Row],[Volume of solution applied
(m3)]]/1000</f>
        <v>0</v>
      </c>
      <c r="S184" s="65"/>
      <c r="U184" s="99" t="str">
        <f>IF(Applications[[#This Row],[Date]]="","",Applications[[#This Row],[Date]])</f>
        <v/>
      </c>
      <c r="V184" s="18" t="str">
        <f>IF(Applications[[#This Row],[Volume of solution applied
(m3)]]="","",Applications[[#This Row],[Volume of solution applied
(m3)]])</f>
        <v/>
      </c>
      <c r="W184" s="18" t="str">
        <v/>
      </c>
      <c r="X184" s="18" t="str">
        <v/>
      </c>
      <c r="Y184" s="18">
        <v>0</v>
      </c>
      <c r="Z184" s="18">
        <v>0</v>
      </c>
    </row>
    <row r="185" spans="2:26" ht="35.1" customHeight="1" thickBot="1">
      <c r="B185" s="54">
        <v>180</v>
      </c>
      <c r="C185" s="32"/>
      <c r="D185" s="33"/>
      <c r="E185" s="104" t="str">
        <f>IF(Applications[[#This Row],[Block ID]]="","",(_xlfn.XLOOKUP(Applications[[#This Row],[Block ID]],Blocks[Block ID],Blocks[Area (ha)],"")))</f>
        <v/>
      </c>
      <c r="F185" s="33"/>
      <c r="G185" s="105" t="str">
        <f t="shared" si="6"/>
        <v/>
      </c>
      <c r="H185" s="33"/>
      <c r="I185" s="33"/>
      <c r="J185" s="33"/>
      <c r="K185" s="77"/>
      <c r="L185" s="33"/>
      <c r="M185" s="33"/>
      <c r="N185" s="23" t="str">
        <f t="shared" si="7"/>
        <v/>
      </c>
      <c r="O185" s="23">
        <f>Applications[[#This Row],[Nitrogen concentration in drain solution
 (ppm or mg/L)]]*Applications[[#This Row],[Volume of solution applied
(m3)]]/1000</f>
        <v>0</v>
      </c>
      <c r="P185" s="33"/>
      <c r="Q185" s="23" t="str">
        <f t="shared" si="8"/>
        <v/>
      </c>
      <c r="R185" s="98">
        <f>Applications[[#This Row],[Phosphorus concentration in drain solution
(ppm or mg/L)]]*Applications[[#This Row],[Volume of solution applied
(m3)]]/1000</f>
        <v>0</v>
      </c>
      <c r="S185" s="65"/>
      <c r="U185" s="99" t="str">
        <f>IF(Applications[[#This Row],[Date]]="","",Applications[[#This Row],[Date]])</f>
        <v/>
      </c>
      <c r="V185" s="18" t="str">
        <f>IF(Applications[[#This Row],[Volume of solution applied
(m3)]]="","",Applications[[#This Row],[Volume of solution applied
(m3)]])</f>
        <v/>
      </c>
      <c r="W185" s="18" t="str">
        <v/>
      </c>
      <c r="X185" s="18" t="str">
        <v/>
      </c>
      <c r="Y185" s="18">
        <v>0</v>
      </c>
      <c r="Z185" s="18">
        <v>0</v>
      </c>
    </row>
    <row r="186" spans="2:26" ht="35.1" customHeight="1" thickBot="1">
      <c r="B186" s="54">
        <v>181</v>
      </c>
      <c r="C186" s="32"/>
      <c r="D186" s="33"/>
      <c r="E186" s="104" t="str">
        <f>IF(Applications[[#This Row],[Block ID]]="","",(_xlfn.XLOOKUP(Applications[[#This Row],[Block ID]],Blocks[Block ID],Blocks[Area (ha)],"")))</f>
        <v/>
      </c>
      <c r="F186" s="33"/>
      <c r="G186" s="105" t="str">
        <f t="shared" si="6"/>
        <v/>
      </c>
      <c r="H186" s="33"/>
      <c r="I186" s="33"/>
      <c r="J186" s="33"/>
      <c r="K186" s="77"/>
      <c r="L186" s="33"/>
      <c r="M186" s="33"/>
      <c r="N186" s="23" t="str">
        <f t="shared" si="7"/>
        <v/>
      </c>
      <c r="O186" s="23">
        <f>Applications[[#This Row],[Nitrogen concentration in drain solution
 (ppm or mg/L)]]*Applications[[#This Row],[Volume of solution applied
(m3)]]/1000</f>
        <v>0</v>
      </c>
      <c r="P186" s="33"/>
      <c r="Q186" s="23" t="str">
        <f t="shared" si="8"/>
        <v/>
      </c>
      <c r="R186" s="98">
        <f>Applications[[#This Row],[Phosphorus concentration in drain solution
(ppm or mg/L)]]*Applications[[#This Row],[Volume of solution applied
(m3)]]/1000</f>
        <v>0</v>
      </c>
      <c r="S186" s="65"/>
      <c r="U186" s="99" t="str">
        <f>IF(Applications[[#This Row],[Date]]="","",Applications[[#This Row],[Date]])</f>
        <v/>
      </c>
      <c r="V186" s="18" t="str">
        <f>IF(Applications[[#This Row],[Volume of solution applied
(m3)]]="","",Applications[[#This Row],[Volume of solution applied
(m3)]])</f>
        <v/>
      </c>
      <c r="W186" s="18" t="str">
        <v/>
      </c>
      <c r="X186" s="18" t="str">
        <v/>
      </c>
      <c r="Y186" s="18">
        <v>0</v>
      </c>
      <c r="Z186" s="18">
        <v>0</v>
      </c>
    </row>
    <row r="187" spans="2:26" ht="35.1" customHeight="1" thickBot="1">
      <c r="B187" s="54">
        <v>182</v>
      </c>
      <c r="C187" s="32"/>
      <c r="D187" s="33"/>
      <c r="E187" s="104" t="str">
        <f>IF(Applications[[#This Row],[Block ID]]="","",(_xlfn.XLOOKUP(Applications[[#This Row],[Block ID]],Blocks[Block ID],Blocks[Area (ha)],"")))</f>
        <v/>
      </c>
      <c r="F187" s="33"/>
      <c r="G187" s="105" t="str">
        <f t="shared" si="6"/>
        <v/>
      </c>
      <c r="H187" s="33"/>
      <c r="I187" s="33"/>
      <c r="J187" s="33"/>
      <c r="K187" s="77"/>
      <c r="L187" s="33"/>
      <c r="M187" s="33"/>
      <c r="N187" s="23" t="str">
        <f t="shared" si="7"/>
        <v/>
      </c>
      <c r="O187" s="23">
        <f>Applications[[#This Row],[Nitrogen concentration in drain solution
 (ppm or mg/L)]]*Applications[[#This Row],[Volume of solution applied
(m3)]]/1000</f>
        <v>0</v>
      </c>
      <c r="P187" s="33"/>
      <c r="Q187" s="23" t="str">
        <f t="shared" si="8"/>
        <v/>
      </c>
      <c r="R187" s="98">
        <f>Applications[[#This Row],[Phosphorus concentration in drain solution
(ppm or mg/L)]]*Applications[[#This Row],[Volume of solution applied
(m3)]]/1000</f>
        <v>0</v>
      </c>
      <c r="S187" s="65"/>
      <c r="U187" s="99" t="str">
        <f>IF(Applications[[#This Row],[Date]]="","",Applications[[#This Row],[Date]])</f>
        <v/>
      </c>
      <c r="V187" s="18" t="str">
        <f>IF(Applications[[#This Row],[Volume of solution applied
(m3)]]="","",Applications[[#This Row],[Volume of solution applied
(m3)]])</f>
        <v/>
      </c>
      <c r="W187" s="18" t="str">
        <v/>
      </c>
      <c r="X187" s="18" t="str">
        <v/>
      </c>
      <c r="Y187" s="18">
        <v>0</v>
      </c>
      <c r="Z187" s="18">
        <v>0</v>
      </c>
    </row>
    <row r="188" spans="2:26" ht="35.1" customHeight="1" thickBot="1">
      <c r="B188" s="54">
        <v>183</v>
      </c>
      <c r="C188" s="32"/>
      <c r="D188" s="33"/>
      <c r="E188" s="104" t="str">
        <f>IF(Applications[[#This Row],[Block ID]]="","",(_xlfn.XLOOKUP(Applications[[#This Row],[Block ID]],Blocks[Block ID],Blocks[Area (ha)],"")))</f>
        <v/>
      </c>
      <c r="F188" s="33"/>
      <c r="G188" s="105" t="str">
        <f t="shared" si="6"/>
        <v/>
      </c>
      <c r="H188" s="33"/>
      <c r="I188" s="33"/>
      <c r="J188" s="33"/>
      <c r="K188" s="77"/>
      <c r="L188" s="33"/>
      <c r="M188" s="33"/>
      <c r="N188" s="23" t="str">
        <f t="shared" si="7"/>
        <v/>
      </c>
      <c r="O188" s="23">
        <f>Applications[[#This Row],[Nitrogen concentration in drain solution
 (ppm or mg/L)]]*Applications[[#This Row],[Volume of solution applied
(m3)]]/1000</f>
        <v>0</v>
      </c>
      <c r="P188" s="33"/>
      <c r="Q188" s="23" t="str">
        <f t="shared" si="8"/>
        <v/>
      </c>
      <c r="R188" s="98">
        <f>Applications[[#This Row],[Phosphorus concentration in drain solution
(ppm or mg/L)]]*Applications[[#This Row],[Volume of solution applied
(m3)]]/1000</f>
        <v>0</v>
      </c>
      <c r="S188" s="65"/>
      <c r="U188" s="99" t="str">
        <f>IF(Applications[[#This Row],[Date]]="","",Applications[[#This Row],[Date]])</f>
        <v/>
      </c>
      <c r="V188" s="18" t="str">
        <f>IF(Applications[[#This Row],[Volume of solution applied
(m3)]]="","",Applications[[#This Row],[Volume of solution applied
(m3)]])</f>
        <v/>
      </c>
      <c r="W188" s="18" t="str">
        <v/>
      </c>
      <c r="X188" s="18" t="str">
        <v/>
      </c>
      <c r="Y188" s="18">
        <v>0</v>
      </c>
      <c r="Z188" s="18">
        <v>0</v>
      </c>
    </row>
    <row r="189" spans="2:26" ht="35.1" customHeight="1" thickBot="1">
      <c r="B189" s="54">
        <v>184</v>
      </c>
      <c r="C189" s="32"/>
      <c r="D189" s="33"/>
      <c r="E189" s="104" t="str">
        <f>IF(Applications[[#This Row],[Block ID]]="","",(_xlfn.XLOOKUP(Applications[[#This Row],[Block ID]],Blocks[Block ID],Blocks[Area (ha)],"")))</f>
        <v/>
      </c>
      <c r="F189" s="33"/>
      <c r="G189" s="105" t="str">
        <f t="shared" si="6"/>
        <v/>
      </c>
      <c r="H189" s="33"/>
      <c r="I189" s="33"/>
      <c r="J189" s="33"/>
      <c r="K189" s="77"/>
      <c r="L189" s="33"/>
      <c r="M189" s="33"/>
      <c r="N189" s="23" t="str">
        <f t="shared" si="7"/>
        <v/>
      </c>
      <c r="O189" s="23">
        <f>Applications[[#This Row],[Nitrogen concentration in drain solution
 (ppm or mg/L)]]*Applications[[#This Row],[Volume of solution applied
(m3)]]/1000</f>
        <v>0</v>
      </c>
      <c r="P189" s="33"/>
      <c r="Q189" s="23" t="str">
        <f t="shared" si="8"/>
        <v/>
      </c>
      <c r="R189" s="98">
        <f>Applications[[#This Row],[Phosphorus concentration in drain solution
(ppm or mg/L)]]*Applications[[#This Row],[Volume of solution applied
(m3)]]/1000</f>
        <v>0</v>
      </c>
      <c r="S189" s="65"/>
      <c r="U189" s="99" t="str">
        <f>IF(Applications[[#This Row],[Date]]="","",Applications[[#This Row],[Date]])</f>
        <v/>
      </c>
      <c r="V189" s="18" t="str">
        <f>IF(Applications[[#This Row],[Volume of solution applied
(m3)]]="","",Applications[[#This Row],[Volume of solution applied
(m3)]])</f>
        <v/>
      </c>
      <c r="W189" s="18" t="str">
        <v/>
      </c>
      <c r="X189" s="18" t="str">
        <v/>
      </c>
      <c r="Y189" s="18">
        <v>0</v>
      </c>
      <c r="Z189" s="18">
        <v>0</v>
      </c>
    </row>
    <row r="190" spans="2:26" ht="35.1" customHeight="1" thickBot="1">
      <c r="B190" s="54">
        <v>185</v>
      </c>
      <c r="C190" s="32"/>
      <c r="D190" s="33"/>
      <c r="E190" s="104" t="str">
        <f>IF(Applications[[#This Row],[Block ID]]="","",(_xlfn.XLOOKUP(Applications[[#This Row],[Block ID]],Blocks[Block ID],Blocks[Area (ha)],"")))</f>
        <v/>
      </c>
      <c r="F190" s="33"/>
      <c r="G190" s="105" t="str">
        <f t="shared" si="6"/>
        <v/>
      </c>
      <c r="H190" s="33"/>
      <c r="I190" s="33"/>
      <c r="J190" s="33"/>
      <c r="K190" s="77"/>
      <c r="L190" s="33"/>
      <c r="M190" s="33"/>
      <c r="N190" s="23" t="str">
        <f t="shared" si="7"/>
        <v/>
      </c>
      <c r="O190" s="23">
        <f>Applications[[#This Row],[Nitrogen concentration in drain solution
 (ppm or mg/L)]]*Applications[[#This Row],[Volume of solution applied
(m3)]]/1000</f>
        <v>0</v>
      </c>
      <c r="P190" s="33"/>
      <c r="Q190" s="23" t="str">
        <f t="shared" si="8"/>
        <v/>
      </c>
      <c r="R190" s="98">
        <f>Applications[[#This Row],[Phosphorus concentration in drain solution
(ppm or mg/L)]]*Applications[[#This Row],[Volume of solution applied
(m3)]]/1000</f>
        <v>0</v>
      </c>
      <c r="S190" s="65"/>
      <c r="U190" s="99" t="str">
        <f>IF(Applications[[#This Row],[Date]]="","",Applications[[#This Row],[Date]])</f>
        <v/>
      </c>
      <c r="V190" s="18" t="str">
        <f>IF(Applications[[#This Row],[Volume of solution applied
(m3)]]="","",Applications[[#This Row],[Volume of solution applied
(m3)]])</f>
        <v/>
      </c>
      <c r="W190" s="18" t="str">
        <v/>
      </c>
      <c r="X190" s="18" t="str">
        <v/>
      </c>
      <c r="Y190" s="18">
        <v>0</v>
      </c>
      <c r="Z190" s="18">
        <v>0</v>
      </c>
    </row>
    <row r="191" spans="2:26" ht="35.1" customHeight="1" thickBot="1">
      <c r="B191" s="54">
        <v>186</v>
      </c>
      <c r="C191" s="32"/>
      <c r="D191" s="33"/>
      <c r="E191" s="104" t="str">
        <f>IF(Applications[[#This Row],[Block ID]]="","",(_xlfn.XLOOKUP(Applications[[#This Row],[Block ID]],Blocks[Block ID],Blocks[Area (ha)],"")))</f>
        <v/>
      </c>
      <c r="F191" s="33"/>
      <c r="G191" s="105" t="str">
        <f t="shared" si="6"/>
        <v/>
      </c>
      <c r="H191" s="33"/>
      <c r="I191" s="33"/>
      <c r="J191" s="33"/>
      <c r="K191" s="77"/>
      <c r="L191" s="33"/>
      <c r="M191" s="33"/>
      <c r="N191" s="23" t="str">
        <f t="shared" si="7"/>
        <v/>
      </c>
      <c r="O191" s="23">
        <f>Applications[[#This Row],[Nitrogen concentration in drain solution
 (ppm or mg/L)]]*Applications[[#This Row],[Volume of solution applied
(m3)]]/1000</f>
        <v>0</v>
      </c>
      <c r="P191" s="33"/>
      <c r="Q191" s="23" t="str">
        <f t="shared" si="8"/>
        <v/>
      </c>
      <c r="R191" s="98">
        <f>Applications[[#This Row],[Phosphorus concentration in drain solution
(ppm or mg/L)]]*Applications[[#This Row],[Volume of solution applied
(m3)]]/1000</f>
        <v>0</v>
      </c>
      <c r="S191" s="65"/>
      <c r="U191" s="99" t="str">
        <f>IF(Applications[[#This Row],[Date]]="","",Applications[[#This Row],[Date]])</f>
        <v/>
      </c>
      <c r="V191" s="18" t="str">
        <f>IF(Applications[[#This Row],[Volume of solution applied
(m3)]]="","",Applications[[#This Row],[Volume of solution applied
(m3)]])</f>
        <v/>
      </c>
      <c r="W191" s="18" t="str">
        <v/>
      </c>
      <c r="X191" s="18" t="str">
        <v/>
      </c>
      <c r="Y191" s="18">
        <v>0</v>
      </c>
      <c r="Z191" s="18">
        <v>0</v>
      </c>
    </row>
    <row r="192" spans="2:26" ht="35.1" customHeight="1" thickBot="1">
      <c r="B192" s="54">
        <v>187</v>
      </c>
      <c r="C192" s="32"/>
      <c r="D192" s="33"/>
      <c r="E192" s="104" t="str">
        <f>IF(Applications[[#This Row],[Block ID]]="","",(_xlfn.XLOOKUP(Applications[[#This Row],[Block ID]],Blocks[Block ID],Blocks[Area (ha)],"")))</f>
        <v/>
      </c>
      <c r="F192" s="33"/>
      <c r="G192" s="105" t="str">
        <f t="shared" si="6"/>
        <v/>
      </c>
      <c r="H192" s="33"/>
      <c r="I192" s="33"/>
      <c r="J192" s="33"/>
      <c r="K192" s="77"/>
      <c r="L192" s="33"/>
      <c r="M192" s="33"/>
      <c r="N192" s="23" t="str">
        <f t="shared" si="7"/>
        <v/>
      </c>
      <c r="O192" s="23">
        <f>Applications[[#This Row],[Nitrogen concentration in drain solution
 (ppm or mg/L)]]*Applications[[#This Row],[Volume of solution applied
(m3)]]/1000</f>
        <v>0</v>
      </c>
      <c r="P192" s="33"/>
      <c r="Q192" s="23" t="str">
        <f t="shared" si="8"/>
        <v/>
      </c>
      <c r="R192" s="98">
        <f>Applications[[#This Row],[Phosphorus concentration in drain solution
(ppm or mg/L)]]*Applications[[#This Row],[Volume of solution applied
(m3)]]/1000</f>
        <v>0</v>
      </c>
      <c r="S192" s="65"/>
      <c r="U192" s="99" t="str">
        <f>IF(Applications[[#This Row],[Date]]="","",Applications[[#This Row],[Date]])</f>
        <v/>
      </c>
      <c r="V192" s="18" t="str">
        <f>IF(Applications[[#This Row],[Volume of solution applied
(m3)]]="","",Applications[[#This Row],[Volume of solution applied
(m3)]])</f>
        <v/>
      </c>
      <c r="W192" s="18" t="str">
        <v/>
      </c>
      <c r="X192" s="18" t="str">
        <v/>
      </c>
      <c r="Y192" s="18">
        <v>0</v>
      </c>
      <c r="Z192" s="18">
        <v>0</v>
      </c>
    </row>
    <row r="193" spans="2:26" ht="35.1" customHeight="1" thickBot="1">
      <c r="B193" s="54">
        <v>188</v>
      </c>
      <c r="C193" s="32"/>
      <c r="D193" s="33"/>
      <c r="E193" s="104" t="str">
        <f>IF(Applications[[#This Row],[Block ID]]="","",(_xlfn.XLOOKUP(Applications[[#This Row],[Block ID]],Blocks[Block ID],Blocks[Area (ha)],"")))</f>
        <v/>
      </c>
      <c r="F193" s="33"/>
      <c r="G193" s="105" t="str">
        <f t="shared" si="6"/>
        <v/>
      </c>
      <c r="H193" s="33"/>
      <c r="I193" s="33"/>
      <c r="J193" s="33"/>
      <c r="K193" s="77"/>
      <c r="L193" s="33"/>
      <c r="M193" s="33"/>
      <c r="N193" s="23" t="str">
        <f t="shared" si="7"/>
        <v/>
      </c>
      <c r="O193" s="23">
        <f>Applications[[#This Row],[Nitrogen concentration in drain solution
 (ppm or mg/L)]]*Applications[[#This Row],[Volume of solution applied
(m3)]]/1000</f>
        <v>0</v>
      </c>
      <c r="P193" s="33"/>
      <c r="Q193" s="23" t="str">
        <f t="shared" si="8"/>
        <v/>
      </c>
      <c r="R193" s="98">
        <f>Applications[[#This Row],[Phosphorus concentration in drain solution
(ppm or mg/L)]]*Applications[[#This Row],[Volume of solution applied
(m3)]]/1000</f>
        <v>0</v>
      </c>
      <c r="S193" s="65"/>
      <c r="U193" s="99" t="str">
        <f>IF(Applications[[#This Row],[Date]]="","",Applications[[#This Row],[Date]])</f>
        <v/>
      </c>
      <c r="V193" s="18" t="str">
        <f>IF(Applications[[#This Row],[Volume of solution applied
(m3)]]="","",Applications[[#This Row],[Volume of solution applied
(m3)]])</f>
        <v/>
      </c>
      <c r="W193" s="18" t="str">
        <v/>
      </c>
      <c r="X193" s="18" t="str">
        <v/>
      </c>
      <c r="Y193" s="18">
        <v>0</v>
      </c>
      <c r="Z193" s="18">
        <v>0</v>
      </c>
    </row>
    <row r="194" spans="2:26" ht="35.1" customHeight="1" thickBot="1">
      <c r="B194" s="54">
        <v>189</v>
      </c>
      <c r="C194" s="32"/>
      <c r="D194" s="33"/>
      <c r="E194" s="104" t="str">
        <f>IF(Applications[[#This Row],[Block ID]]="","",(_xlfn.XLOOKUP(Applications[[#This Row],[Block ID]],Blocks[Block ID],Blocks[Area (ha)],"")))</f>
        <v/>
      </c>
      <c r="F194" s="33"/>
      <c r="G194" s="105" t="str">
        <f t="shared" si="6"/>
        <v/>
      </c>
      <c r="H194" s="33"/>
      <c r="I194" s="33"/>
      <c r="J194" s="33"/>
      <c r="K194" s="77"/>
      <c r="L194" s="33"/>
      <c r="M194" s="33"/>
      <c r="N194" s="23" t="str">
        <f t="shared" si="7"/>
        <v/>
      </c>
      <c r="O194" s="23">
        <f>Applications[[#This Row],[Nitrogen concentration in drain solution
 (ppm or mg/L)]]*Applications[[#This Row],[Volume of solution applied
(m3)]]/1000</f>
        <v>0</v>
      </c>
      <c r="P194" s="33"/>
      <c r="Q194" s="23" t="str">
        <f t="shared" si="8"/>
        <v/>
      </c>
      <c r="R194" s="98">
        <f>Applications[[#This Row],[Phosphorus concentration in drain solution
(ppm or mg/L)]]*Applications[[#This Row],[Volume of solution applied
(m3)]]/1000</f>
        <v>0</v>
      </c>
      <c r="S194" s="65"/>
      <c r="U194" s="99" t="str">
        <f>IF(Applications[[#This Row],[Date]]="","",Applications[[#This Row],[Date]])</f>
        <v/>
      </c>
      <c r="V194" s="18" t="str">
        <f>IF(Applications[[#This Row],[Volume of solution applied
(m3)]]="","",Applications[[#This Row],[Volume of solution applied
(m3)]])</f>
        <v/>
      </c>
      <c r="W194" s="18" t="str">
        <v/>
      </c>
      <c r="X194" s="18" t="str">
        <v/>
      </c>
      <c r="Y194" s="18">
        <v>0</v>
      </c>
      <c r="Z194" s="18">
        <v>0</v>
      </c>
    </row>
    <row r="195" spans="2:26" ht="35.1" customHeight="1" thickBot="1">
      <c r="B195" s="54">
        <v>190</v>
      </c>
      <c r="C195" s="32"/>
      <c r="D195" s="33"/>
      <c r="E195" s="104" t="str">
        <f>IF(Applications[[#This Row],[Block ID]]="","",(_xlfn.XLOOKUP(Applications[[#This Row],[Block ID]],Blocks[Block ID],Blocks[Area (ha)],"")))</f>
        <v/>
      </c>
      <c r="F195" s="33"/>
      <c r="G195" s="105" t="str">
        <f t="shared" si="6"/>
        <v/>
      </c>
      <c r="H195" s="33"/>
      <c r="I195" s="33"/>
      <c r="J195" s="33"/>
      <c r="K195" s="77"/>
      <c r="L195" s="33"/>
      <c r="M195" s="33"/>
      <c r="N195" s="23" t="str">
        <f t="shared" si="7"/>
        <v/>
      </c>
      <c r="O195" s="23">
        <f>Applications[[#This Row],[Nitrogen concentration in drain solution
 (ppm or mg/L)]]*Applications[[#This Row],[Volume of solution applied
(m3)]]/1000</f>
        <v>0</v>
      </c>
      <c r="P195" s="33"/>
      <c r="Q195" s="23" t="str">
        <f t="shared" si="8"/>
        <v/>
      </c>
      <c r="R195" s="98">
        <f>Applications[[#This Row],[Phosphorus concentration in drain solution
(ppm or mg/L)]]*Applications[[#This Row],[Volume of solution applied
(m3)]]/1000</f>
        <v>0</v>
      </c>
      <c r="S195" s="65"/>
      <c r="U195" s="99" t="str">
        <f>IF(Applications[[#This Row],[Date]]="","",Applications[[#This Row],[Date]])</f>
        <v/>
      </c>
      <c r="V195" s="18" t="str">
        <f>IF(Applications[[#This Row],[Volume of solution applied
(m3)]]="","",Applications[[#This Row],[Volume of solution applied
(m3)]])</f>
        <v/>
      </c>
      <c r="W195" s="18" t="str">
        <v/>
      </c>
      <c r="X195" s="18" t="str">
        <v/>
      </c>
      <c r="Y195" s="18">
        <v>0</v>
      </c>
      <c r="Z195" s="18">
        <v>0</v>
      </c>
    </row>
    <row r="196" spans="2:26" ht="35.1" customHeight="1" thickBot="1">
      <c r="B196" s="54">
        <v>191</v>
      </c>
      <c r="C196" s="32"/>
      <c r="D196" s="33"/>
      <c r="E196" s="104" t="str">
        <f>IF(Applications[[#This Row],[Block ID]]="","",(_xlfn.XLOOKUP(Applications[[#This Row],[Block ID]],Blocks[Block ID],Blocks[Area (ha)],"")))</f>
        <v/>
      </c>
      <c r="F196" s="33"/>
      <c r="G196" s="105" t="str">
        <f t="shared" si="6"/>
        <v/>
      </c>
      <c r="H196" s="33"/>
      <c r="I196" s="33"/>
      <c r="J196" s="33"/>
      <c r="K196" s="77"/>
      <c r="L196" s="33"/>
      <c r="M196" s="33"/>
      <c r="N196" s="23" t="str">
        <f t="shared" si="7"/>
        <v/>
      </c>
      <c r="O196" s="23">
        <f>Applications[[#This Row],[Nitrogen concentration in drain solution
 (ppm or mg/L)]]*Applications[[#This Row],[Volume of solution applied
(m3)]]/1000</f>
        <v>0</v>
      </c>
      <c r="P196" s="33"/>
      <c r="Q196" s="23" t="str">
        <f t="shared" si="8"/>
        <v/>
      </c>
      <c r="R196" s="98">
        <f>Applications[[#This Row],[Phosphorus concentration in drain solution
(ppm or mg/L)]]*Applications[[#This Row],[Volume of solution applied
(m3)]]/1000</f>
        <v>0</v>
      </c>
      <c r="S196" s="65"/>
      <c r="U196" s="99" t="str">
        <f>IF(Applications[[#This Row],[Date]]="","",Applications[[#This Row],[Date]])</f>
        <v/>
      </c>
      <c r="V196" s="18" t="str">
        <f>IF(Applications[[#This Row],[Volume of solution applied
(m3)]]="","",Applications[[#This Row],[Volume of solution applied
(m3)]])</f>
        <v/>
      </c>
      <c r="W196" s="18" t="str">
        <v/>
      </c>
      <c r="X196" s="18" t="str">
        <v/>
      </c>
      <c r="Y196" s="18">
        <v>0</v>
      </c>
      <c r="Z196" s="18">
        <v>0</v>
      </c>
    </row>
    <row r="197" spans="2:26" ht="35.1" customHeight="1" thickBot="1">
      <c r="B197" s="54">
        <v>192</v>
      </c>
      <c r="C197" s="32"/>
      <c r="D197" s="33"/>
      <c r="E197" s="104" t="str">
        <f>IF(Applications[[#This Row],[Block ID]]="","",(_xlfn.XLOOKUP(Applications[[#This Row],[Block ID]],Blocks[Block ID],Blocks[Area (ha)],"")))</f>
        <v/>
      </c>
      <c r="F197" s="33"/>
      <c r="G197" s="105" t="str">
        <f t="shared" si="6"/>
        <v/>
      </c>
      <c r="H197" s="33"/>
      <c r="I197" s="33"/>
      <c r="J197" s="33"/>
      <c r="K197" s="77"/>
      <c r="L197" s="33"/>
      <c r="M197" s="33"/>
      <c r="N197" s="23" t="str">
        <f t="shared" si="7"/>
        <v/>
      </c>
      <c r="O197" s="23">
        <f>Applications[[#This Row],[Nitrogen concentration in drain solution
 (ppm or mg/L)]]*Applications[[#This Row],[Volume of solution applied
(m3)]]/1000</f>
        <v>0</v>
      </c>
      <c r="P197" s="33"/>
      <c r="Q197" s="23" t="str">
        <f t="shared" si="8"/>
        <v/>
      </c>
      <c r="R197" s="98">
        <f>Applications[[#This Row],[Phosphorus concentration in drain solution
(ppm or mg/L)]]*Applications[[#This Row],[Volume of solution applied
(m3)]]/1000</f>
        <v>0</v>
      </c>
      <c r="S197" s="65"/>
      <c r="U197" s="99" t="str">
        <f>IF(Applications[[#This Row],[Date]]="","",Applications[[#This Row],[Date]])</f>
        <v/>
      </c>
      <c r="V197" s="18" t="str">
        <f>IF(Applications[[#This Row],[Volume of solution applied
(m3)]]="","",Applications[[#This Row],[Volume of solution applied
(m3)]])</f>
        <v/>
      </c>
      <c r="W197" s="18" t="str">
        <v/>
      </c>
      <c r="X197" s="18" t="str">
        <v/>
      </c>
      <c r="Y197" s="18">
        <v>0</v>
      </c>
      <c r="Z197" s="18">
        <v>0</v>
      </c>
    </row>
    <row r="198" spans="2:26" ht="35.1" customHeight="1" thickBot="1">
      <c r="B198" s="54">
        <v>193</v>
      </c>
      <c r="C198" s="32"/>
      <c r="D198" s="33"/>
      <c r="E198" s="104" t="str">
        <f>IF(Applications[[#This Row],[Block ID]]="","",(_xlfn.XLOOKUP(Applications[[#This Row],[Block ID]],Blocks[Block ID],Blocks[Area (ha)],"")))</f>
        <v/>
      </c>
      <c r="F198" s="33"/>
      <c r="G198" s="105" t="str">
        <f t="shared" ref="G198:G255" si="9">IFERROR((IF(F198="","",((F198*1000)/(E198*10000)))),"")</f>
        <v/>
      </c>
      <c r="H198" s="33"/>
      <c r="I198" s="33"/>
      <c r="J198" s="33"/>
      <c r="K198" s="77"/>
      <c r="L198" s="33"/>
      <c r="M198" s="33"/>
      <c r="N198" s="23" t="str">
        <f t="shared" ref="N198:N255" si="10">IFERROR((L198*M198/1000/E198),"")</f>
        <v/>
      </c>
      <c r="O198" s="23">
        <f>Applications[[#This Row],[Nitrogen concentration in drain solution
 (ppm or mg/L)]]*Applications[[#This Row],[Volume of solution applied
(m3)]]/1000</f>
        <v>0</v>
      </c>
      <c r="P198" s="33"/>
      <c r="Q198" s="23" t="str">
        <f t="shared" ref="Q198:Q255" si="11">IFERROR((L198*P198/1000/E198),"")</f>
        <v/>
      </c>
      <c r="R198" s="98">
        <f>Applications[[#This Row],[Phosphorus concentration in drain solution
(ppm or mg/L)]]*Applications[[#This Row],[Volume of solution applied
(m3)]]/1000</f>
        <v>0</v>
      </c>
      <c r="S198" s="65"/>
      <c r="U198" s="99" t="str">
        <f>IF(Applications[[#This Row],[Date]]="","",Applications[[#This Row],[Date]])</f>
        <v/>
      </c>
      <c r="V198" s="18" t="str">
        <f>IF(Applications[[#This Row],[Volume of solution applied
(m3)]]="","",Applications[[#This Row],[Volume of solution applied
(m3)]])</f>
        <v/>
      </c>
      <c r="W198" s="18" t="str">
        <v/>
      </c>
      <c r="X198" s="18" t="str">
        <v/>
      </c>
      <c r="Y198" s="18">
        <v>0</v>
      </c>
      <c r="Z198" s="18">
        <v>0</v>
      </c>
    </row>
    <row r="199" spans="2:26" ht="35.1" customHeight="1" thickBot="1">
      <c r="B199" s="54">
        <v>194</v>
      </c>
      <c r="C199" s="32"/>
      <c r="D199" s="33"/>
      <c r="E199" s="104" t="str">
        <f>IF(Applications[[#This Row],[Block ID]]="","",(_xlfn.XLOOKUP(Applications[[#This Row],[Block ID]],Blocks[Block ID],Blocks[Area (ha)],"")))</f>
        <v/>
      </c>
      <c r="F199" s="33"/>
      <c r="G199" s="105" t="str">
        <f t="shared" si="9"/>
        <v/>
      </c>
      <c r="H199" s="33"/>
      <c r="I199" s="33"/>
      <c r="J199" s="33"/>
      <c r="K199" s="77"/>
      <c r="L199" s="33"/>
      <c r="M199" s="33"/>
      <c r="N199" s="23" t="str">
        <f t="shared" si="10"/>
        <v/>
      </c>
      <c r="O199" s="23">
        <f>Applications[[#This Row],[Nitrogen concentration in drain solution
 (ppm or mg/L)]]*Applications[[#This Row],[Volume of solution applied
(m3)]]/1000</f>
        <v>0</v>
      </c>
      <c r="P199" s="33"/>
      <c r="Q199" s="23" t="str">
        <f t="shared" si="11"/>
        <v/>
      </c>
      <c r="R199" s="98">
        <f>Applications[[#This Row],[Phosphorus concentration in drain solution
(ppm or mg/L)]]*Applications[[#This Row],[Volume of solution applied
(m3)]]/1000</f>
        <v>0</v>
      </c>
      <c r="S199" s="65"/>
      <c r="U199" s="99" t="str">
        <f>IF(Applications[[#This Row],[Date]]="","",Applications[[#This Row],[Date]])</f>
        <v/>
      </c>
      <c r="V199" s="18" t="str">
        <f>IF(Applications[[#This Row],[Volume of solution applied
(m3)]]="","",Applications[[#This Row],[Volume of solution applied
(m3)]])</f>
        <v/>
      </c>
      <c r="W199" s="18" t="str">
        <v/>
      </c>
      <c r="X199" s="18" t="str">
        <v/>
      </c>
      <c r="Y199" s="18">
        <v>0</v>
      </c>
      <c r="Z199" s="18">
        <v>0</v>
      </c>
    </row>
    <row r="200" spans="2:26" ht="35.1" customHeight="1" thickBot="1">
      <c r="B200" s="54">
        <v>195</v>
      </c>
      <c r="C200" s="32"/>
      <c r="D200" s="33"/>
      <c r="E200" s="104" t="str">
        <f>IF(Applications[[#This Row],[Block ID]]="","",(_xlfn.XLOOKUP(Applications[[#This Row],[Block ID]],Blocks[Block ID],Blocks[Area (ha)],"")))</f>
        <v/>
      </c>
      <c r="F200" s="33"/>
      <c r="G200" s="105" t="str">
        <f t="shared" si="9"/>
        <v/>
      </c>
      <c r="H200" s="33"/>
      <c r="I200" s="33"/>
      <c r="J200" s="33"/>
      <c r="K200" s="77"/>
      <c r="L200" s="33"/>
      <c r="M200" s="33"/>
      <c r="N200" s="23" t="str">
        <f t="shared" si="10"/>
        <v/>
      </c>
      <c r="O200" s="23">
        <f>Applications[[#This Row],[Nitrogen concentration in drain solution
 (ppm or mg/L)]]*Applications[[#This Row],[Volume of solution applied
(m3)]]/1000</f>
        <v>0</v>
      </c>
      <c r="P200" s="33"/>
      <c r="Q200" s="23" t="str">
        <f t="shared" si="11"/>
        <v/>
      </c>
      <c r="R200" s="98">
        <f>Applications[[#This Row],[Phosphorus concentration in drain solution
(ppm or mg/L)]]*Applications[[#This Row],[Volume of solution applied
(m3)]]/1000</f>
        <v>0</v>
      </c>
      <c r="S200" s="65"/>
      <c r="U200" s="99" t="str">
        <f>IF(Applications[[#This Row],[Date]]="","",Applications[[#This Row],[Date]])</f>
        <v/>
      </c>
      <c r="V200" s="18" t="str">
        <f>IF(Applications[[#This Row],[Volume of solution applied
(m3)]]="","",Applications[[#This Row],[Volume of solution applied
(m3)]])</f>
        <v/>
      </c>
      <c r="W200" s="18" t="str">
        <v/>
      </c>
      <c r="X200" s="18" t="str">
        <v/>
      </c>
      <c r="Y200" s="18">
        <v>0</v>
      </c>
      <c r="Z200" s="18">
        <v>0</v>
      </c>
    </row>
    <row r="201" spans="2:26" ht="35.1" customHeight="1" thickBot="1">
      <c r="B201" s="54">
        <v>196</v>
      </c>
      <c r="C201" s="32"/>
      <c r="D201" s="33"/>
      <c r="E201" s="104" t="str">
        <f>IF(Applications[[#This Row],[Block ID]]="","",(_xlfn.XLOOKUP(Applications[[#This Row],[Block ID]],Blocks[Block ID],Blocks[Area (ha)],"")))</f>
        <v/>
      </c>
      <c r="F201" s="33"/>
      <c r="G201" s="105" t="str">
        <f t="shared" si="9"/>
        <v/>
      </c>
      <c r="H201" s="33"/>
      <c r="I201" s="33"/>
      <c r="J201" s="33"/>
      <c r="K201" s="77"/>
      <c r="L201" s="33"/>
      <c r="M201" s="33"/>
      <c r="N201" s="23" t="str">
        <f t="shared" si="10"/>
        <v/>
      </c>
      <c r="O201" s="23">
        <f>Applications[[#This Row],[Nitrogen concentration in drain solution
 (ppm or mg/L)]]*Applications[[#This Row],[Volume of solution applied
(m3)]]/1000</f>
        <v>0</v>
      </c>
      <c r="P201" s="33"/>
      <c r="Q201" s="23" t="str">
        <f t="shared" si="11"/>
        <v/>
      </c>
      <c r="R201" s="98">
        <f>Applications[[#This Row],[Phosphorus concentration in drain solution
(ppm or mg/L)]]*Applications[[#This Row],[Volume of solution applied
(m3)]]/1000</f>
        <v>0</v>
      </c>
      <c r="S201" s="65"/>
      <c r="U201" s="99" t="str">
        <f>IF(Applications[[#This Row],[Date]]="","",Applications[[#This Row],[Date]])</f>
        <v/>
      </c>
      <c r="V201" s="18" t="str">
        <f>IF(Applications[[#This Row],[Volume of solution applied
(m3)]]="","",Applications[[#This Row],[Volume of solution applied
(m3)]])</f>
        <v/>
      </c>
      <c r="W201" s="18" t="str">
        <v/>
      </c>
      <c r="X201" s="18" t="str">
        <v/>
      </c>
      <c r="Y201" s="18">
        <v>0</v>
      </c>
      <c r="Z201" s="18">
        <v>0</v>
      </c>
    </row>
    <row r="202" spans="2:26" ht="35.1" customHeight="1" thickBot="1">
      <c r="B202" s="54">
        <v>197</v>
      </c>
      <c r="C202" s="32"/>
      <c r="D202" s="33"/>
      <c r="E202" s="104" t="str">
        <f>IF(Applications[[#This Row],[Block ID]]="","",(_xlfn.XLOOKUP(Applications[[#This Row],[Block ID]],Blocks[Block ID],Blocks[Area (ha)],"")))</f>
        <v/>
      </c>
      <c r="F202" s="33"/>
      <c r="G202" s="105" t="str">
        <f t="shared" si="9"/>
        <v/>
      </c>
      <c r="H202" s="33"/>
      <c r="I202" s="33"/>
      <c r="J202" s="33"/>
      <c r="K202" s="77"/>
      <c r="L202" s="33"/>
      <c r="M202" s="33"/>
      <c r="N202" s="23" t="str">
        <f t="shared" si="10"/>
        <v/>
      </c>
      <c r="O202" s="23">
        <f>Applications[[#This Row],[Nitrogen concentration in drain solution
 (ppm or mg/L)]]*Applications[[#This Row],[Volume of solution applied
(m3)]]/1000</f>
        <v>0</v>
      </c>
      <c r="P202" s="33"/>
      <c r="Q202" s="23" t="str">
        <f t="shared" si="11"/>
        <v/>
      </c>
      <c r="R202" s="98">
        <f>Applications[[#This Row],[Phosphorus concentration in drain solution
(ppm or mg/L)]]*Applications[[#This Row],[Volume of solution applied
(m3)]]/1000</f>
        <v>0</v>
      </c>
      <c r="S202" s="65"/>
      <c r="U202" s="99" t="str">
        <f>IF(Applications[[#This Row],[Date]]="","",Applications[[#This Row],[Date]])</f>
        <v/>
      </c>
      <c r="V202" s="18" t="str">
        <f>IF(Applications[[#This Row],[Volume of solution applied
(m3)]]="","",Applications[[#This Row],[Volume of solution applied
(m3)]])</f>
        <v/>
      </c>
      <c r="W202" s="18" t="str">
        <v/>
      </c>
      <c r="X202" s="18" t="str">
        <v/>
      </c>
      <c r="Y202" s="18">
        <v>0</v>
      </c>
      <c r="Z202" s="18">
        <v>0</v>
      </c>
    </row>
    <row r="203" spans="2:26" ht="35.1" customHeight="1" thickBot="1">
      <c r="B203" s="54">
        <v>198</v>
      </c>
      <c r="C203" s="32"/>
      <c r="D203" s="33"/>
      <c r="E203" s="104" t="str">
        <f>IF(Applications[[#This Row],[Block ID]]="","",(_xlfn.XLOOKUP(Applications[[#This Row],[Block ID]],Blocks[Block ID],Blocks[Area (ha)],"")))</f>
        <v/>
      </c>
      <c r="F203" s="33"/>
      <c r="G203" s="105" t="str">
        <f t="shared" si="9"/>
        <v/>
      </c>
      <c r="H203" s="33"/>
      <c r="I203" s="33"/>
      <c r="J203" s="33"/>
      <c r="K203" s="77"/>
      <c r="L203" s="33"/>
      <c r="M203" s="33"/>
      <c r="N203" s="23" t="str">
        <f t="shared" si="10"/>
        <v/>
      </c>
      <c r="O203" s="23">
        <f>Applications[[#This Row],[Nitrogen concentration in drain solution
 (ppm or mg/L)]]*Applications[[#This Row],[Volume of solution applied
(m3)]]/1000</f>
        <v>0</v>
      </c>
      <c r="P203" s="33"/>
      <c r="Q203" s="23" t="str">
        <f t="shared" si="11"/>
        <v/>
      </c>
      <c r="R203" s="98">
        <f>Applications[[#This Row],[Phosphorus concentration in drain solution
(ppm or mg/L)]]*Applications[[#This Row],[Volume of solution applied
(m3)]]/1000</f>
        <v>0</v>
      </c>
      <c r="S203" s="65"/>
      <c r="U203" s="99" t="str">
        <f>IF(Applications[[#This Row],[Date]]="","",Applications[[#This Row],[Date]])</f>
        <v/>
      </c>
      <c r="V203" s="18" t="str">
        <f>IF(Applications[[#This Row],[Volume of solution applied
(m3)]]="","",Applications[[#This Row],[Volume of solution applied
(m3)]])</f>
        <v/>
      </c>
      <c r="W203" s="18" t="str">
        <v/>
      </c>
      <c r="X203" s="18" t="str">
        <v/>
      </c>
      <c r="Y203" s="18">
        <v>0</v>
      </c>
      <c r="Z203" s="18">
        <v>0</v>
      </c>
    </row>
    <row r="204" spans="2:26" ht="35.1" customHeight="1" thickBot="1">
      <c r="B204" s="54">
        <v>199</v>
      </c>
      <c r="C204" s="32"/>
      <c r="D204" s="33"/>
      <c r="E204" s="104" t="str">
        <f>IF(Applications[[#This Row],[Block ID]]="","",(_xlfn.XLOOKUP(Applications[[#This Row],[Block ID]],Blocks[Block ID],Blocks[Area (ha)],"")))</f>
        <v/>
      </c>
      <c r="F204" s="33"/>
      <c r="G204" s="105" t="str">
        <f t="shared" si="9"/>
        <v/>
      </c>
      <c r="H204" s="33"/>
      <c r="I204" s="33"/>
      <c r="J204" s="33"/>
      <c r="K204" s="77"/>
      <c r="L204" s="33"/>
      <c r="M204" s="33"/>
      <c r="N204" s="23" t="str">
        <f t="shared" si="10"/>
        <v/>
      </c>
      <c r="O204" s="23">
        <f>Applications[[#This Row],[Nitrogen concentration in drain solution
 (ppm or mg/L)]]*Applications[[#This Row],[Volume of solution applied
(m3)]]/1000</f>
        <v>0</v>
      </c>
      <c r="P204" s="33"/>
      <c r="Q204" s="23" t="str">
        <f t="shared" si="11"/>
        <v/>
      </c>
      <c r="R204" s="98">
        <f>Applications[[#This Row],[Phosphorus concentration in drain solution
(ppm or mg/L)]]*Applications[[#This Row],[Volume of solution applied
(m3)]]/1000</f>
        <v>0</v>
      </c>
      <c r="S204" s="65"/>
      <c r="U204" s="99" t="str">
        <f>IF(Applications[[#This Row],[Date]]="","",Applications[[#This Row],[Date]])</f>
        <v/>
      </c>
      <c r="V204" s="18" t="str">
        <f>IF(Applications[[#This Row],[Volume of solution applied
(m3)]]="","",Applications[[#This Row],[Volume of solution applied
(m3)]])</f>
        <v/>
      </c>
      <c r="W204" s="18" t="str">
        <v/>
      </c>
      <c r="X204" s="18" t="str">
        <v/>
      </c>
      <c r="Y204" s="18">
        <v>0</v>
      </c>
      <c r="Z204" s="18">
        <v>0</v>
      </c>
    </row>
    <row r="205" spans="2:26" ht="35.1" customHeight="1" thickBot="1">
      <c r="B205" s="54">
        <v>200</v>
      </c>
      <c r="C205" s="32"/>
      <c r="D205" s="33"/>
      <c r="E205" s="104" t="str">
        <f>IF(Applications[[#This Row],[Block ID]]="","",(_xlfn.XLOOKUP(Applications[[#This Row],[Block ID]],Blocks[Block ID],Blocks[Area (ha)],"")))</f>
        <v/>
      </c>
      <c r="F205" s="33"/>
      <c r="G205" s="105" t="str">
        <f t="shared" si="9"/>
        <v/>
      </c>
      <c r="H205" s="33"/>
      <c r="I205" s="33"/>
      <c r="J205" s="33"/>
      <c r="K205" s="77"/>
      <c r="L205" s="33"/>
      <c r="M205" s="33"/>
      <c r="N205" s="23" t="str">
        <f t="shared" si="10"/>
        <v/>
      </c>
      <c r="O205" s="23">
        <f>Applications[[#This Row],[Nitrogen concentration in drain solution
 (ppm or mg/L)]]*Applications[[#This Row],[Volume of solution applied
(m3)]]/1000</f>
        <v>0</v>
      </c>
      <c r="P205" s="33"/>
      <c r="Q205" s="23" t="str">
        <f t="shared" si="11"/>
        <v/>
      </c>
      <c r="R205" s="98">
        <f>Applications[[#This Row],[Phosphorus concentration in drain solution
(ppm or mg/L)]]*Applications[[#This Row],[Volume of solution applied
(m3)]]/1000</f>
        <v>0</v>
      </c>
      <c r="S205" s="65"/>
      <c r="U205" s="99" t="str">
        <f>IF(Applications[[#This Row],[Date]]="","",Applications[[#This Row],[Date]])</f>
        <v/>
      </c>
      <c r="V205" s="18" t="str">
        <f>IF(Applications[[#This Row],[Volume of solution applied
(m3)]]="","",Applications[[#This Row],[Volume of solution applied
(m3)]])</f>
        <v/>
      </c>
      <c r="W205" s="18" t="str">
        <v/>
      </c>
      <c r="X205" s="18" t="str">
        <v/>
      </c>
      <c r="Y205" s="18">
        <v>0</v>
      </c>
      <c r="Z205" s="18">
        <v>0</v>
      </c>
    </row>
    <row r="206" spans="2:26" ht="35.1" customHeight="1" thickBot="1">
      <c r="B206" s="54">
        <v>201</v>
      </c>
      <c r="C206" s="32"/>
      <c r="D206" s="33"/>
      <c r="E206" s="104" t="str">
        <f>IF(Applications[[#This Row],[Block ID]]="","",(_xlfn.XLOOKUP(Applications[[#This Row],[Block ID]],Blocks[Block ID],Blocks[Area (ha)],"")))</f>
        <v/>
      </c>
      <c r="F206" s="33"/>
      <c r="G206" s="105" t="str">
        <f t="shared" si="9"/>
        <v/>
      </c>
      <c r="H206" s="33"/>
      <c r="I206" s="33"/>
      <c r="J206" s="33"/>
      <c r="K206" s="77"/>
      <c r="L206" s="33"/>
      <c r="M206" s="33"/>
      <c r="N206" s="23" t="str">
        <f t="shared" si="10"/>
        <v/>
      </c>
      <c r="O206" s="23">
        <f>Applications[[#This Row],[Nitrogen concentration in drain solution
 (ppm or mg/L)]]*Applications[[#This Row],[Volume of solution applied
(m3)]]/1000</f>
        <v>0</v>
      </c>
      <c r="P206" s="33"/>
      <c r="Q206" s="23" t="str">
        <f t="shared" si="11"/>
        <v/>
      </c>
      <c r="R206" s="98">
        <f>Applications[[#This Row],[Phosphorus concentration in drain solution
(ppm or mg/L)]]*Applications[[#This Row],[Volume of solution applied
(m3)]]/1000</f>
        <v>0</v>
      </c>
      <c r="S206" s="65"/>
      <c r="U206" s="99" t="str">
        <f>IF(Applications[[#This Row],[Date]]="","",Applications[[#This Row],[Date]])</f>
        <v/>
      </c>
      <c r="V206" s="18" t="str">
        <f>IF(Applications[[#This Row],[Volume of solution applied
(m3)]]="","",Applications[[#This Row],[Volume of solution applied
(m3)]])</f>
        <v/>
      </c>
      <c r="W206" s="18" t="str">
        <v/>
      </c>
      <c r="X206" s="18" t="str">
        <v/>
      </c>
      <c r="Y206" s="18">
        <v>0</v>
      </c>
      <c r="Z206" s="18">
        <v>0</v>
      </c>
    </row>
    <row r="207" spans="2:26" ht="35.1" customHeight="1" thickBot="1">
      <c r="B207" s="54">
        <v>202</v>
      </c>
      <c r="C207" s="32"/>
      <c r="D207" s="33"/>
      <c r="E207" s="104" t="str">
        <f>IF(Applications[[#This Row],[Block ID]]="","",(_xlfn.XLOOKUP(Applications[[#This Row],[Block ID]],Blocks[Block ID],Blocks[Area (ha)],"")))</f>
        <v/>
      </c>
      <c r="F207" s="33"/>
      <c r="G207" s="105" t="str">
        <f t="shared" si="9"/>
        <v/>
      </c>
      <c r="H207" s="33"/>
      <c r="I207" s="33"/>
      <c r="J207" s="33"/>
      <c r="K207" s="77"/>
      <c r="L207" s="33"/>
      <c r="M207" s="33"/>
      <c r="N207" s="23" t="str">
        <f t="shared" si="10"/>
        <v/>
      </c>
      <c r="O207" s="23">
        <f>Applications[[#This Row],[Nitrogen concentration in drain solution
 (ppm or mg/L)]]*Applications[[#This Row],[Volume of solution applied
(m3)]]/1000</f>
        <v>0</v>
      </c>
      <c r="P207" s="33"/>
      <c r="Q207" s="23" t="str">
        <f t="shared" si="11"/>
        <v/>
      </c>
      <c r="R207" s="98">
        <f>Applications[[#This Row],[Phosphorus concentration in drain solution
(ppm or mg/L)]]*Applications[[#This Row],[Volume of solution applied
(m3)]]/1000</f>
        <v>0</v>
      </c>
      <c r="S207" s="65"/>
      <c r="U207" s="99" t="str">
        <f>IF(Applications[[#This Row],[Date]]="","",Applications[[#This Row],[Date]])</f>
        <v/>
      </c>
      <c r="V207" s="18" t="str">
        <f>IF(Applications[[#This Row],[Volume of solution applied
(m3)]]="","",Applications[[#This Row],[Volume of solution applied
(m3)]])</f>
        <v/>
      </c>
      <c r="W207" s="18" t="str">
        <v/>
      </c>
      <c r="X207" s="18" t="str">
        <v/>
      </c>
      <c r="Y207" s="18">
        <v>0</v>
      </c>
      <c r="Z207" s="18">
        <v>0</v>
      </c>
    </row>
    <row r="208" spans="2:26" ht="35.1" customHeight="1" thickBot="1">
      <c r="B208" s="54">
        <v>203</v>
      </c>
      <c r="C208" s="32"/>
      <c r="D208" s="33"/>
      <c r="E208" s="104" t="str">
        <f>IF(Applications[[#This Row],[Block ID]]="","",(_xlfn.XLOOKUP(Applications[[#This Row],[Block ID]],Blocks[Block ID],Blocks[Area (ha)],"")))</f>
        <v/>
      </c>
      <c r="F208" s="33"/>
      <c r="G208" s="105" t="str">
        <f t="shared" si="9"/>
        <v/>
      </c>
      <c r="H208" s="33"/>
      <c r="I208" s="33"/>
      <c r="J208" s="33"/>
      <c r="K208" s="77"/>
      <c r="L208" s="33"/>
      <c r="M208" s="33"/>
      <c r="N208" s="23" t="str">
        <f t="shared" si="10"/>
        <v/>
      </c>
      <c r="O208" s="23">
        <f>Applications[[#This Row],[Nitrogen concentration in drain solution
 (ppm or mg/L)]]*Applications[[#This Row],[Volume of solution applied
(m3)]]/1000</f>
        <v>0</v>
      </c>
      <c r="P208" s="33"/>
      <c r="Q208" s="23" t="str">
        <f t="shared" si="11"/>
        <v/>
      </c>
      <c r="R208" s="98">
        <f>Applications[[#This Row],[Phosphorus concentration in drain solution
(ppm or mg/L)]]*Applications[[#This Row],[Volume of solution applied
(m3)]]/1000</f>
        <v>0</v>
      </c>
      <c r="S208" s="65"/>
      <c r="U208" s="99" t="str">
        <f>IF(Applications[[#This Row],[Date]]="","",Applications[[#This Row],[Date]])</f>
        <v/>
      </c>
      <c r="V208" s="18" t="str">
        <f>IF(Applications[[#This Row],[Volume of solution applied
(m3)]]="","",Applications[[#This Row],[Volume of solution applied
(m3)]])</f>
        <v/>
      </c>
      <c r="W208" s="18" t="str">
        <v/>
      </c>
      <c r="X208" s="18" t="str">
        <v/>
      </c>
      <c r="Y208" s="18">
        <v>0</v>
      </c>
      <c r="Z208" s="18">
        <v>0</v>
      </c>
    </row>
    <row r="209" spans="2:26" ht="35.1" customHeight="1" thickBot="1">
      <c r="B209" s="54">
        <v>204</v>
      </c>
      <c r="C209" s="32"/>
      <c r="D209" s="33"/>
      <c r="E209" s="104" t="str">
        <f>IF(Applications[[#This Row],[Block ID]]="","",(_xlfn.XLOOKUP(Applications[[#This Row],[Block ID]],Blocks[Block ID],Blocks[Area (ha)],"")))</f>
        <v/>
      </c>
      <c r="F209" s="33"/>
      <c r="G209" s="105" t="str">
        <f t="shared" si="9"/>
        <v/>
      </c>
      <c r="H209" s="33"/>
      <c r="I209" s="33"/>
      <c r="J209" s="33"/>
      <c r="K209" s="77"/>
      <c r="L209" s="33"/>
      <c r="M209" s="33"/>
      <c r="N209" s="23" t="str">
        <f t="shared" si="10"/>
        <v/>
      </c>
      <c r="O209" s="23">
        <f>Applications[[#This Row],[Nitrogen concentration in drain solution
 (ppm or mg/L)]]*Applications[[#This Row],[Volume of solution applied
(m3)]]/1000</f>
        <v>0</v>
      </c>
      <c r="P209" s="33"/>
      <c r="Q209" s="23" t="str">
        <f t="shared" si="11"/>
        <v/>
      </c>
      <c r="R209" s="98">
        <f>Applications[[#This Row],[Phosphorus concentration in drain solution
(ppm or mg/L)]]*Applications[[#This Row],[Volume of solution applied
(m3)]]/1000</f>
        <v>0</v>
      </c>
      <c r="S209" s="65"/>
      <c r="U209" s="99" t="str">
        <f>IF(Applications[[#This Row],[Date]]="","",Applications[[#This Row],[Date]])</f>
        <v/>
      </c>
      <c r="V209" s="18" t="str">
        <f>IF(Applications[[#This Row],[Volume of solution applied
(m3)]]="","",Applications[[#This Row],[Volume of solution applied
(m3)]])</f>
        <v/>
      </c>
      <c r="W209" s="18" t="str">
        <v/>
      </c>
      <c r="X209" s="18" t="str">
        <v/>
      </c>
      <c r="Y209" s="18">
        <v>0</v>
      </c>
      <c r="Z209" s="18">
        <v>0</v>
      </c>
    </row>
    <row r="210" spans="2:26" ht="35.1" customHeight="1" thickBot="1">
      <c r="B210" s="54">
        <v>205</v>
      </c>
      <c r="C210" s="32"/>
      <c r="D210" s="33"/>
      <c r="E210" s="104" t="str">
        <f>IF(Applications[[#This Row],[Block ID]]="","",(_xlfn.XLOOKUP(Applications[[#This Row],[Block ID]],Blocks[Block ID],Blocks[Area (ha)],"")))</f>
        <v/>
      </c>
      <c r="F210" s="33"/>
      <c r="G210" s="105" t="str">
        <f t="shared" si="9"/>
        <v/>
      </c>
      <c r="H210" s="33"/>
      <c r="I210" s="33"/>
      <c r="J210" s="33"/>
      <c r="K210" s="77"/>
      <c r="L210" s="33"/>
      <c r="M210" s="33"/>
      <c r="N210" s="23" t="str">
        <f t="shared" si="10"/>
        <v/>
      </c>
      <c r="O210" s="23">
        <f>Applications[[#This Row],[Nitrogen concentration in drain solution
 (ppm or mg/L)]]*Applications[[#This Row],[Volume of solution applied
(m3)]]/1000</f>
        <v>0</v>
      </c>
      <c r="P210" s="33"/>
      <c r="Q210" s="23" t="str">
        <f t="shared" si="11"/>
        <v/>
      </c>
      <c r="R210" s="98">
        <f>Applications[[#This Row],[Phosphorus concentration in drain solution
(ppm or mg/L)]]*Applications[[#This Row],[Volume of solution applied
(m3)]]/1000</f>
        <v>0</v>
      </c>
      <c r="S210" s="65"/>
      <c r="U210" s="99" t="str">
        <f>IF(Applications[[#This Row],[Date]]="","",Applications[[#This Row],[Date]])</f>
        <v/>
      </c>
      <c r="V210" s="18" t="str">
        <f>IF(Applications[[#This Row],[Volume of solution applied
(m3)]]="","",Applications[[#This Row],[Volume of solution applied
(m3)]])</f>
        <v/>
      </c>
      <c r="W210" s="18" t="str">
        <v/>
      </c>
      <c r="X210" s="18" t="str">
        <v/>
      </c>
      <c r="Y210" s="18">
        <v>0</v>
      </c>
      <c r="Z210" s="18">
        <v>0</v>
      </c>
    </row>
    <row r="211" spans="2:26" ht="35.1" customHeight="1" thickBot="1">
      <c r="B211" s="54">
        <v>206</v>
      </c>
      <c r="C211" s="32"/>
      <c r="D211" s="33"/>
      <c r="E211" s="104" t="str">
        <f>IF(Applications[[#This Row],[Block ID]]="","",(_xlfn.XLOOKUP(Applications[[#This Row],[Block ID]],Blocks[Block ID],Blocks[Area (ha)],"")))</f>
        <v/>
      </c>
      <c r="F211" s="33"/>
      <c r="G211" s="105" t="str">
        <f t="shared" si="9"/>
        <v/>
      </c>
      <c r="H211" s="33"/>
      <c r="I211" s="33"/>
      <c r="J211" s="33"/>
      <c r="K211" s="77"/>
      <c r="L211" s="33"/>
      <c r="M211" s="33"/>
      <c r="N211" s="23" t="str">
        <f t="shared" si="10"/>
        <v/>
      </c>
      <c r="O211" s="23">
        <f>Applications[[#This Row],[Nitrogen concentration in drain solution
 (ppm or mg/L)]]*Applications[[#This Row],[Volume of solution applied
(m3)]]/1000</f>
        <v>0</v>
      </c>
      <c r="P211" s="33"/>
      <c r="Q211" s="23" t="str">
        <f t="shared" si="11"/>
        <v/>
      </c>
      <c r="R211" s="98">
        <f>Applications[[#This Row],[Phosphorus concentration in drain solution
(ppm or mg/L)]]*Applications[[#This Row],[Volume of solution applied
(m3)]]/1000</f>
        <v>0</v>
      </c>
      <c r="S211" s="65"/>
      <c r="U211" s="99" t="str">
        <f>IF(Applications[[#This Row],[Date]]="","",Applications[[#This Row],[Date]])</f>
        <v/>
      </c>
      <c r="V211" s="18" t="str">
        <f>IF(Applications[[#This Row],[Volume of solution applied
(m3)]]="","",Applications[[#This Row],[Volume of solution applied
(m3)]])</f>
        <v/>
      </c>
      <c r="W211" s="18" t="str">
        <v/>
      </c>
      <c r="X211" s="18" t="str">
        <v/>
      </c>
      <c r="Y211" s="18">
        <v>0</v>
      </c>
      <c r="Z211" s="18">
        <v>0</v>
      </c>
    </row>
    <row r="212" spans="2:26" ht="35.1" customHeight="1" thickBot="1">
      <c r="B212" s="54">
        <v>207</v>
      </c>
      <c r="C212" s="32"/>
      <c r="D212" s="33"/>
      <c r="E212" s="104" t="str">
        <f>IF(Applications[[#This Row],[Block ID]]="","",(_xlfn.XLOOKUP(Applications[[#This Row],[Block ID]],Blocks[Block ID],Blocks[Area (ha)],"")))</f>
        <v/>
      </c>
      <c r="F212" s="33"/>
      <c r="G212" s="105" t="str">
        <f t="shared" si="9"/>
        <v/>
      </c>
      <c r="H212" s="33"/>
      <c r="I212" s="33"/>
      <c r="J212" s="33"/>
      <c r="K212" s="77"/>
      <c r="L212" s="33"/>
      <c r="M212" s="33"/>
      <c r="N212" s="23" t="str">
        <f t="shared" si="10"/>
        <v/>
      </c>
      <c r="O212" s="23">
        <f>Applications[[#This Row],[Nitrogen concentration in drain solution
 (ppm or mg/L)]]*Applications[[#This Row],[Volume of solution applied
(m3)]]/1000</f>
        <v>0</v>
      </c>
      <c r="P212" s="33"/>
      <c r="Q212" s="23" t="str">
        <f t="shared" si="11"/>
        <v/>
      </c>
      <c r="R212" s="98">
        <f>Applications[[#This Row],[Phosphorus concentration in drain solution
(ppm or mg/L)]]*Applications[[#This Row],[Volume of solution applied
(m3)]]/1000</f>
        <v>0</v>
      </c>
      <c r="S212" s="65"/>
      <c r="U212" s="99" t="str">
        <f>IF(Applications[[#This Row],[Date]]="","",Applications[[#This Row],[Date]])</f>
        <v/>
      </c>
      <c r="V212" s="18" t="str">
        <f>IF(Applications[[#This Row],[Volume of solution applied
(m3)]]="","",Applications[[#This Row],[Volume of solution applied
(m3)]])</f>
        <v/>
      </c>
      <c r="W212" s="18" t="str">
        <v/>
      </c>
      <c r="X212" s="18" t="str">
        <v/>
      </c>
      <c r="Y212" s="18">
        <v>0</v>
      </c>
      <c r="Z212" s="18">
        <v>0</v>
      </c>
    </row>
    <row r="213" spans="2:26" ht="35.1" customHeight="1" thickBot="1">
      <c r="B213" s="54">
        <v>208</v>
      </c>
      <c r="C213" s="32"/>
      <c r="D213" s="33"/>
      <c r="E213" s="104" t="str">
        <f>IF(Applications[[#This Row],[Block ID]]="","",(_xlfn.XLOOKUP(Applications[[#This Row],[Block ID]],Blocks[Block ID],Blocks[Area (ha)],"")))</f>
        <v/>
      </c>
      <c r="F213" s="33"/>
      <c r="G213" s="105" t="str">
        <f t="shared" si="9"/>
        <v/>
      </c>
      <c r="H213" s="33"/>
      <c r="I213" s="33"/>
      <c r="J213" s="33"/>
      <c r="K213" s="77"/>
      <c r="L213" s="33"/>
      <c r="M213" s="33"/>
      <c r="N213" s="23" t="str">
        <f t="shared" si="10"/>
        <v/>
      </c>
      <c r="O213" s="23">
        <f>Applications[[#This Row],[Nitrogen concentration in drain solution
 (ppm or mg/L)]]*Applications[[#This Row],[Volume of solution applied
(m3)]]/1000</f>
        <v>0</v>
      </c>
      <c r="P213" s="33"/>
      <c r="Q213" s="23" t="str">
        <f t="shared" si="11"/>
        <v/>
      </c>
      <c r="R213" s="98">
        <f>Applications[[#This Row],[Phosphorus concentration in drain solution
(ppm or mg/L)]]*Applications[[#This Row],[Volume of solution applied
(m3)]]/1000</f>
        <v>0</v>
      </c>
      <c r="S213" s="65"/>
      <c r="U213" s="99" t="str">
        <f>IF(Applications[[#This Row],[Date]]="","",Applications[[#This Row],[Date]])</f>
        <v/>
      </c>
      <c r="V213" s="18" t="str">
        <f>IF(Applications[[#This Row],[Volume of solution applied
(m3)]]="","",Applications[[#This Row],[Volume of solution applied
(m3)]])</f>
        <v/>
      </c>
      <c r="W213" s="18" t="str">
        <v/>
      </c>
      <c r="X213" s="18" t="str">
        <v/>
      </c>
      <c r="Y213" s="18">
        <v>0</v>
      </c>
      <c r="Z213" s="18">
        <v>0</v>
      </c>
    </row>
    <row r="214" spans="2:26" ht="35.1" customHeight="1" thickBot="1">
      <c r="B214" s="54">
        <v>209</v>
      </c>
      <c r="C214" s="32"/>
      <c r="D214" s="33"/>
      <c r="E214" s="104" t="str">
        <f>IF(Applications[[#This Row],[Block ID]]="","",(_xlfn.XLOOKUP(Applications[[#This Row],[Block ID]],Blocks[Block ID],Blocks[Area (ha)],"")))</f>
        <v/>
      </c>
      <c r="F214" s="33"/>
      <c r="G214" s="105" t="str">
        <f t="shared" si="9"/>
        <v/>
      </c>
      <c r="H214" s="33"/>
      <c r="I214" s="33"/>
      <c r="J214" s="33"/>
      <c r="K214" s="77"/>
      <c r="L214" s="33"/>
      <c r="M214" s="33"/>
      <c r="N214" s="23" t="str">
        <f t="shared" si="10"/>
        <v/>
      </c>
      <c r="O214" s="23">
        <f>Applications[[#This Row],[Nitrogen concentration in drain solution
 (ppm or mg/L)]]*Applications[[#This Row],[Volume of solution applied
(m3)]]/1000</f>
        <v>0</v>
      </c>
      <c r="P214" s="33"/>
      <c r="Q214" s="23" t="str">
        <f t="shared" si="11"/>
        <v/>
      </c>
      <c r="R214" s="98">
        <f>Applications[[#This Row],[Phosphorus concentration in drain solution
(ppm or mg/L)]]*Applications[[#This Row],[Volume of solution applied
(m3)]]/1000</f>
        <v>0</v>
      </c>
      <c r="S214" s="65"/>
      <c r="U214" s="99" t="str">
        <f>IF(Applications[[#This Row],[Date]]="","",Applications[[#This Row],[Date]])</f>
        <v/>
      </c>
      <c r="V214" s="18" t="str">
        <f>IF(Applications[[#This Row],[Volume of solution applied
(m3)]]="","",Applications[[#This Row],[Volume of solution applied
(m3)]])</f>
        <v/>
      </c>
      <c r="W214" s="18" t="str">
        <v/>
      </c>
      <c r="X214" s="18" t="str">
        <v/>
      </c>
      <c r="Y214" s="18">
        <v>0</v>
      </c>
      <c r="Z214" s="18">
        <v>0</v>
      </c>
    </row>
    <row r="215" spans="2:26" ht="35.1" customHeight="1" thickBot="1">
      <c r="B215" s="54">
        <v>210</v>
      </c>
      <c r="C215" s="32"/>
      <c r="D215" s="33"/>
      <c r="E215" s="104" t="str">
        <f>IF(Applications[[#This Row],[Block ID]]="","",(_xlfn.XLOOKUP(Applications[[#This Row],[Block ID]],Blocks[Block ID],Blocks[Area (ha)],"")))</f>
        <v/>
      </c>
      <c r="F215" s="33"/>
      <c r="G215" s="105" t="str">
        <f t="shared" si="9"/>
        <v/>
      </c>
      <c r="H215" s="33"/>
      <c r="I215" s="33"/>
      <c r="J215" s="33"/>
      <c r="K215" s="77"/>
      <c r="L215" s="33"/>
      <c r="M215" s="33"/>
      <c r="N215" s="23" t="str">
        <f t="shared" si="10"/>
        <v/>
      </c>
      <c r="O215" s="23">
        <f>Applications[[#This Row],[Nitrogen concentration in drain solution
 (ppm or mg/L)]]*Applications[[#This Row],[Volume of solution applied
(m3)]]/1000</f>
        <v>0</v>
      </c>
      <c r="P215" s="33"/>
      <c r="Q215" s="23" t="str">
        <f t="shared" si="11"/>
        <v/>
      </c>
      <c r="R215" s="98">
        <f>Applications[[#This Row],[Phosphorus concentration in drain solution
(ppm or mg/L)]]*Applications[[#This Row],[Volume of solution applied
(m3)]]/1000</f>
        <v>0</v>
      </c>
      <c r="S215" s="65"/>
      <c r="U215" s="99" t="str">
        <f>IF(Applications[[#This Row],[Date]]="","",Applications[[#This Row],[Date]])</f>
        <v/>
      </c>
      <c r="V215" s="18" t="str">
        <f>IF(Applications[[#This Row],[Volume of solution applied
(m3)]]="","",Applications[[#This Row],[Volume of solution applied
(m3)]])</f>
        <v/>
      </c>
      <c r="W215" s="18" t="str">
        <v/>
      </c>
      <c r="X215" s="18" t="str">
        <v/>
      </c>
      <c r="Y215" s="18">
        <v>0</v>
      </c>
      <c r="Z215" s="18">
        <v>0</v>
      </c>
    </row>
    <row r="216" spans="2:26" ht="35.1" customHeight="1" thickBot="1">
      <c r="B216" s="54">
        <v>211</v>
      </c>
      <c r="C216" s="32"/>
      <c r="D216" s="33"/>
      <c r="E216" s="104" t="str">
        <f>IF(Applications[[#This Row],[Block ID]]="","",(_xlfn.XLOOKUP(Applications[[#This Row],[Block ID]],Blocks[Block ID],Blocks[Area (ha)],"")))</f>
        <v/>
      </c>
      <c r="F216" s="33"/>
      <c r="G216" s="105" t="str">
        <f t="shared" si="9"/>
        <v/>
      </c>
      <c r="H216" s="33"/>
      <c r="I216" s="33"/>
      <c r="J216" s="33"/>
      <c r="K216" s="77"/>
      <c r="L216" s="33"/>
      <c r="M216" s="33"/>
      <c r="N216" s="23" t="str">
        <f t="shared" si="10"/>
        <v/>
      </c>
      <c r="O216" s="23">
        <f>Applications[[#This Row],[Nitrogen concentration in drain solution
 (ppm or mg/L)]]*Applications[[#This Row],[Volume of solution applied
(m3)]]/1000</f>
        <v>0</v>
      </c>
      <c r="P216" s="33"/>
      <c r="Q216" s="23" t="str">
        <f t="shared" si="11"/>
        <v/>
      </c>
      <c r="R216" s="98">
        <f>Applications[[#This Row],[Phosphorus concentration in drain solution
(ppm or mg/L)]]*Applications[[#This Row],[Volume of solution applied
(m3)]]/1000</f>
        <v>0</v>
      </c>
      <c r="S216" s="65"/>
      <c r="U216" s="99" t="str">
        <f>IF(Applications[[#This Row],[Date]]="","",Applications[[#This Row],[Date]])</f>
        <v/>
      </c>
      <c r="V216" s="18" t="str">
        <f>IF(Applications[[#This Row],[Volume of solution applied
(m3)]]="","",Applications[[#This Row],[Volume of solution applied
(m3)]])</f>
        <v/>
      </c>
      <c r="W216" s="18" t="str">
        <v/>
      </c>
      <c r="X216" s="18" t="str">
        <v/>
      </c>
      <c r="Y216" s="18">
        <v>0</v>
      </c>
      <c r="Z216" s="18">
        <v>0</v>
      </c>
    </row>
    <row r="217" spans="2:26" ht="35.1" customHeight="1" thickBot="1">
      <c r="B217" s="54">
        <v>212</v>
      </c>
      <c r="C217" s="32"/>
      <c r="D217" s="33"/>
      <c r="E217" s="104" t="str">
        <f>IF(Applications[[#This Row],[Block ID]]="","",(_xlfn.XLOOKUP(Applications[[#This Row],[Block ID]],Blocks[Block ID],Blocks[Area (ha)],"")))</f>
        <v/>
      </c>
      <c r="F217" s="33"/>
      <c r="G217" s="105" t="str">
        <f t="shared" si="9"/>
        <v/>
      </c>
      <c r="H217" s="33"/>
      <c r="I217" s="33"/>
      <c r="J217" s="33"/>
      <c r="K217" s="77"/>
      <c r="L217" s="33"/>
      <c r="M217" s="33"/>
      <c r="N217" s="23" t="str">
        <f t="shared" si="10"/>
        <v/>
      </c>
      <c r="O217" s="23">
        <f>Applications[[#This Row],[Nitrogen concentration in drain solution
 (ppm or mg/L)]]*Applications[[#This Row],[Volume of solution applied
(m3)]]/1000</f>
        <v>0</v>
      </c>
      <c r="P217" s="33"/>
      <c r="Q217" s="23" t="str">
        <f t="shared" si="11"/>
        <v/>
      </c>
      <c r="R217" s="98">
        <f>Applications[[#This Row],[Phosphorus concentration in drain solution
(ppm or mg/L)]]*Applications[[#This Row],[Volume of solution applied
(m3)]]/1000</f>
        <v>0</v>
      </c>
      <c r="S217" s="65"/>
      <c r="U217" s="99" t="str">
        <f>IF(Applications[[#This Row],[Date]]="","",Applications[[#This Row],[Date]])</f>
        <v/>
      </c>
      <c r="V217" s="18" t="str">
        <f>IF(Applications[[#This Row],[Volume of solution applied
(m3)]]="","",Applications[[#This Row],[Volume of solution applied
(m3)]])</f>
        <v/>
      </c>
      <c r="W217" s="18" t="str">
        <v/>
      </c>
      <c r="X217" s="18" t="str">
        <v/>
      </c>
      <c r="Y217" s="18">
        <v>0</v>
      </c>
      <c r="Z217" s="18">
        <v>0</v>
      </c>
    </row>
    <row r="218" spans="2:26" ht="35.1" customHeight="1" thickBot="1">
      <c r="B218" s="54">
        <v>213</v>
      </c>
      <c r="C218" s="32"/>
      <c r="D218" s="33"/>
      <c r="E218" s="104" t="str">
        <f>IF(Applications[[#This Row],[Block ID]]="","",(_xlfn.XLOOKUP(Applications[[#This Row],[Block ID]],Blocks[Block ID],Blocks[Area (ha)],"")))</f>
        <v/>
      </c>
      <c r="F218" s="33"/>
      <c r="G218" s="105" t="str">
        <f t="shared" si="9"/>
        <v/>
      </c>
      <c r="H218" s="33"/>
      <c r="I218" s="33"/>
      <c r="J218" s="33"/>
      <c r="K218" s="77"/>
      <c r="L218" s="33"/>
      <c r="M218" s="33"/>
      <c r="N218" s="23" t="str">
        <f t="shared" si="10"/>
        <v/>
      </c>
      <c r="O218" s="23">
        <f>Applications[[#This Row],[Nitrogen concentration in drain solution
 (ppm or mg/L)]]*Applications[[#This Row],[Volume of solution applied
(m3)]]/1000</f>
        <v>0</v>
      </c>
      <c r="P218" s="33"/>
      <c r="Q218" s="23" t="str">
        <f t="shared" si="11"/>
        <v/>
      </c>
      <c r="R218" s="98">
        <f>Applications[[#This Row],[Phosphorus concentration in drain solution
(ppm or mg/L)]]*Applications[[#This Row],[Volume of solution applied
(m3)]]/1000</f>
        <v>0</v>
      </c>
      <c r="S218" s="65"/>
      <c r="U218" s="99" t="str">
        <f>IF(Applications[[#This Row],[Date]]="","",Applications[[#This Row],[Date]])</f>
        <v/>
      </c>
      <c r="V218" s="18" t="str">
        <f>IF(Applications[[#This Row],[Volume of solution applied
(m3)]]="","",Applications[[#This Row],[Volume of solution applied
(m3)]])</f>
        <v/>
      </c>
      <c r="W218" s="18" t="str">
        <v/>
      </c>
      <c r="X218" s="18" t="str">
        <v/>
      </c>
      <c r="Y218" s="18">
        <v>0</v>
      </c>
      <c r="Z218" s="18">
        <v>0</v>
      </c>
    </row>
    <row r="219" spans="2:26" ht="35.1" customHeight="1" thickBot="1">
      <c r="B219" s="54">
        <v>214</v>
      </c>
      <c r="C219" s="32"/>
      <c r="D219" s="33"/>
      <c r="E219" s="104" t="str">
        <f>IF(Applications[[#This Row],[Block ID]]="","",(_xlfn.XLOOKUP(Applications[[#This Row],[Block ID]],Blocks[Block ID],Blocks[Area (ha)],"")))</f>
        <v/>
      </c>
      <c r="F219" s="33"/>
      <c r="G219" s="105" t="str">
        <f t="shared" si="9"/>
        <v/>
      </c>
      <c r="H219" s="33"/>
      <c r="I219" s="33"/>
      <c r="J219" s="33"/>
      <c r="K219" s="77"/>
      <c r="L219" s="33"/>
      <c r="M219" s="33"/>
      <c r="N219" s="23" t="str">
        <f t="shared" si="10"/>
        <v/>
      </c>
      <c r="O219" s="23">
        <f>Applications[[#This Row],[Nitrogen concentration in drain solution
 (ppm or mg/L)]]*Applications[[#This Row],[Volume of solution applied
(m3)]]/1000</f>
        <v>0</v>
      </c>
      <c r="P219" s="33"/>
      <c r="Q219" s="23" t="str">
        <f t="shared" si="11"/>
        <v/>
      </c>
      <c r="R219" s="98">
        <f>Applications[[#This Row],[Phosphorus concentration in drain solution
(ppm or mg/L)]]*Applications[[#This Row],[Volume of solution applied
(m3)]]/1000</f>
        <v>0</v>
      </c>
      <c r="S219" s="65"/>
      <c r="U219" s="99" t="str">
        <f>IF(Applications[[#This Row],[Date]]="","",Applications[[#This Row],[Date]])</f>
        <v/>
      </c>
      <c r="V219" s="18" t="str">
        <f>IF(Applications[[#This Row],[Volume of solution applied
(m3)]]="","",Applications[[#This Row],[Volume of solution applied
(m3)]])</f>
        <v/>
      </c>
      <c r="W219" s="18" t="str">
        <v/>
      </c>
      <c r="X219" s="18" t="str">
        <v/>
      </c>
      <c r="Y219" s="18">
        <v>0</v>
      </c>
      <c r="Z219" s="18">
        <v>0</v>
      </c>
    </row>
    <row r="220" spans="2:26" ht="35.1" customHeight="1" thickBot="1">
      <c r="B220" s="54">
        <v>215</v>
      </c>
      <c r="C220" s="32"/>
      <c r="D220" s="33"/>
      <c r="E220" s="104" t="str">
        <f>IF(Applications[[#This Row],[Block ID]]="","",(_xlfn.XLOOKUP(Applications[[#This Row],[Block ID]],Blocks[Block ID],Blocks[Area (ha)],"")))</f>
        <v/>
      </c>
      <c r="F220" s="33"/>
      <c r="G220" s="105" t="str">
        <f t="shared" si="9"/>
        <v/>
      </c>
      <c r="H220" s="33"/>
      <c r="I220" s="33"/>
      <c r="J220" s="33"/>
      <c r="K220" s="77"/>
      <c r="L220" s="33"/>
      <c r="M220" s="33"/>
      <c r="N220" s="23" t="str">
        <f t="shared" si="10"/>
        <v/>
      </c>
      <c r="O220" s="23">
        <f>Applications[[#This Row],[Nitrogen concentration in drain solution
 (ppm or mg/L)]]*Applications[[#This Row],[Volume of solution applied
(m3)]]/1000</f>
        <v>0</v>
      </c>
      <c r="P220" s="33"/>
      <c r="Q220" s="23" t="str">
        <f t="shared" si="11"/>
        <v/>
      </c>
      <c r="R220" s="98">
        <f>Applications[[#This Row],[Phosphorus concentration in drain solution
(ppm or mg/L)]]*Applications[[#This Row],[Volume of solution applied
(m3)]]/1000</f>
        <v>0</v>
      </c>
      <c r="S220" s="65"/>
      <c r="U220" s="99" t="str">
        <f>IF(Applications[[#This Row],[Date]]="","",Applications[[#This Row],[Date]])</f>
        <v/>
      </c>
      <c r="V220" s="18" t="str">
        <f>IF(Applications[[#This Row],[Volume of solution applied
(m3)]]="","",Applications[[#This Row],[Volume of solution applied
(m3)]])</f>
        <v/>
      </c>
      <c r="W220" s="18" t="str">
        <v/>
      </c>
      <c r="X220" s="18" t="str">
        <v/>
      </c>
      <c r="Y220" s="18">
        <v>0</v>
      </c>
      <c r="Z220" s="18">
        <v>0</v>
      </c>
    </row>
    <row r="221" spans="2:26" ht="35.1" customHeight="1" thickBot="1">
      <c r="B221" s="54">
        <v>216</v>
      </c>
      <c r="C221" s="32"/>
      <c r="D221" s="33"/>
      <c r="E221" s="104" t="str">
        <f>IF(Applications[[#This Row],[Block ID]]="","",(_xlfn.XLOOKUP(Applications[[#This Row],[Block ID]],Blocks[Block ID],Blocks[Area (ha)],"")))</f>
        <v/>
      </c>
      <c r="F221" s="33"/>
      <c r="G221" s="105" t="str">
        <f t="shared" si="9"/>
        <v/>
      </c>
      <c r="H221" s="33"/>
      <c r="I221" s="33"/>
      <c r="J221" s="33"/>
      <c r="K221" s="77"/>
      <c r="L221" s="33"/>
      <c r="M221" s="33"/>
      <c r="N221" s="23" t="str">
        <f t="shared" si="10"/>
        <v/>
      </c>
      <c r="O221" s="23">
        <f>Applications[[#This Row],[Nitrogen concentration in drain solution
 (ppm or mg/L)]]*Applications[[#This Row],[Volume of solution applied
(m3)]]/1000</f>
        <v>0</v>
      </c>
      <c r="P221" s="33"/>
      <c r="Q221" s="23" t="str">
        <f t="shared" si="11"/>
        <v/>
      </c>
      <c r="R221" s="98">
        <f>Applications[[#This Row],[Phosphorus concentration in drain solution
(ppm or mg/L)]]*Applications[[#This Row],[Volume of solution applied
(m3)]]/1000</f>
        <v>0</v>
      </c>
      <c r="S221" s="65"/>
      <c r="U221" s="99" t="str">
        <f>IF(Applications[[#This Row],[Date]]="","",Applications[[#This Row],[Date]])</f>
        <v/>
      </c>
      <c r="V221" s="18" t="str">
        <f>IF(Applications[[#This Row],[Volume of solution applied
(m3)]]="","",Applications[[#This Row],[Volume of solution applied
(m3)]])</f>
        <v/>
      </c>
      <c r="W221" s="18" t="str">
        <v/>
      </c>
      <c r="X221" s="18" t="str">
        <v/>
      </c>
      <c r="Y221" s="18">
        <v>0</v>
      </c>
      <c r="Z221" s="18">
        <v>0</v>
      </c>
    </row>
    <row r="222" spans="2:26" ht="35.1" customHeight="1" thickBot="1">
      <c r="B222" s="54">
        <v>217</v>
      </c>
      <c r="C222" s="32"/>
      <c r="D222" s="33"/>
      <c r="E222" s="104" t="str">
        <f>IF(Applications[[#This Row],[Block ID]]="","",(_xlfn.XLOOKUP(Applications[[#This Row],[Block ID]],Blocks[Block ID],Blocks[Area (ha)],"")))</f>
        <v/>
      </c>
      <c r="F222" s="33"/>
      <c r="G222" s="105" t="str">
        <f t="shared" si="9"/>
        <v/>
      </c>
      <c r="H222" s="33"/>
      <c r="I222" s="33"/>
      <c r="J222" s="33"/>
      <c r="K222" s="77"/>
      <c r="L222" s="33"/>
      <c r="M222" s="33"/>
      <c r="N222" s="23" t="str">
        <f t="shared" si="10"/>
        <v/>
      </c>
      <c r="O222" s="23">
        <f>Applications[[#This Row],[Nitrogen concentration in drain solution
 (ppm or mg/L)]]*Applications[[#This Row],[Volume of solution applied
(m3)]]/1000</f>
        <v>0</v>
      </c>
      <c r="P222" s="33"/>
      <c r="Q222" s="23" t="str">
        <f t="shared" si="11"/>
        <v/>
      </c>
      <c r="R222" s="98">
        <f>Applications[[#This Row],[Phosphorus concentration in drain solution
(ppm or mg/L)]]*Applications[[#This Row],[Volume of solution applied
(m3)]]/1000</f>
        <v>0</v>
      </c>
      <c r="S222" s="65"/>
      <c r="U222" s="99" t="str">
        <f>IF(Applications[[#This Row],[Date]]="","",Applications[[#This Row],[Date]])</f>
        <v/>
      </c>
      <c r="V222" s="18" t="str">
        <f>IF(Applications[[#This Row],[Volume of solution applied
(m3)]]="","",Applications[[#This Row],[Volume of solution applied
(m3)]])</f>
        <v/>
      </c>
      <c r="W222" s="18" t="str">
        <v/>
      </c>
      <c r="X222" s="18" t="str">
        <v/>
      </c>
      <c r="Y222" s="18">
        <v>0</v>
      </c>
      <c r="Z222" s="18">
        <v>0</v>
      </c>
    </row>
    <row r="223" spans="2:26" ht="35.1" customHeight="1" thickBot="1">
      <c r="B223" s="54">
        <v>218</v>
      </c>
      <c r="C223" s="32"/>
      <c r="D223" s="33"/>
      <c r="E223" s="104" t="str">
        <f>IF(Applications[[#This Row],[Block ID]]="","",(_xlfn.XLOOKUP(Applications[[#This Row],[Block ID]],Blocks[Block ID],Blocks[Area (ha)],"")))</f>
        <v/>
      </c>
      <c r="F223" s="33"/>
      <c r="G223" s="105" t="str">
        <f t="shared" si="9"/>
        <v/>
      </c>
      <c r="H223" s="33"/>
      <c r="I223" s="33"/>
      <c r="J223" s="33"/>
      <c r="K223" s="77"/>
      <c r="L223" s="33"/>
      <c r="M223" s="33"/>
      <c r="N223" s="23" t="str">
        <f t="shared" si="10"/>
        <v/>
      </c>
      <c r="O223" s="23">
        <f>Applications[[#This Row],[Nitrogen concentration in drain solution
 (ppm or mg/L)]]*Applications[[#This Row],[Volume of solution applied
(m3)]]/1000</f>
        <v>0</v>
      </c>
      <c r="P223" s="33"/>
      <c r="Q223" s="23" t="str">
        <f t="shared" si="11"/>
        <v/>
      </c>
      <c r="R223" s="98">
        <f>Applications[[#This Row],[Phosphorus concentration in drain solution
(ppm or mg/L)]]*Applications[[#This Row],[Volume of solution applied
(m3)]]/1000</f>
        <v>0</v>
      </c>
      <c r="S223" s="65"/>
      <c r="U223" s="99" t="str">
        <f>IF(Applications[[#This Row],[Date]]="","",Applications[[#This Row],[Date]])</f>
        <v/>
      </c>
      <c r="V223" s="18" t="str">
        <f>IF(Applications[[#This Row],[Volume of solution applied
(m3)]]="","",Applications[[#This Row],[Volume of solution applied
(m3)]])</f>
        <v/>
      </c>
      <c r="W223" s="18" t="str">
        <v/>
      </c>
      <c r="X223" s="18" t="str">
        <v/>
      </c>
      <c r="Y223" s="18">
        <v>0</v>
      </c>
      <c r="Z223" s="18">
        <v>0</v>
      </c>
    </row>
    <row r="224" spans="2:26" ht="35.1" customHeight="1" thickBot="1">
      <c r="B224" s="54">
        <v>219</v>
      </c>
      <c r="C224" s="32"/>
      <c r="D224" s="33"/>
      <c r="E224" s="104" t="str">
        <f>IF(Applications[[#This Row],[Block ID]]="","",(_xlfn.XLOOKUP(Applications[[#This Row],[Block ID]],Blocks[Block ID],Blocks[Area (ha)],"")))</f>
        <v/>
      </c>
      <c r="F224" s="33"/>
      <c r="G224" s="105" t="str">
        <f t="shared" si="9"/>
        <v/>
      </c>
      <c r="H224" s="33"/>
      <c r="I224" s="33"/>
      <c r="J224" s="33"/>
      <c r="K224" s="77"/>
      <c r="L224" s="33"/>
      <c r="M224" s="33"/>
      <c r="N224" s="23" t="str">
        <f t="shared" si="10"/>
        <v/>
      </c>
      <c r="O224" s="23">
        <f>Applications[[#This Row],[Nitrogen concentration in drain solution
 (ppm or mg/L)]]*Applications[[#This Row],[Volume of solution applied
(m3)]]/1000</f>
        <v>0</v>
      </c>
      <c r="P224" s="33"/>
      <c r="Q224" s="23" t="str">
        <f t="shared" si="11"/>
        <v/>
      </c>
      <c r="R224" s="98">
        <f>Applications[[#This Row],[Phosphorus concentration in drain solution
(ppm or mg/L)]]*Applications[[#This Row],[Volume of solution applied
(m3)]]/1000</f>
        <v>0</v>
      </c>
      <c r="S224" s="65"/>
      <c r="U224" s="99" t="str">
        <f>IF(Applications[[#This Row],[Date]]="","",Applications[[#This Row],[Date]])</f>
        <v/>
      </c>
      <c r="V224" s="18" t="str">
        <f>IF(Applications[[#This Row],[Volume of solution applied
(m3)]]="","",Applications[[#This Row],[Volume of solution applied
(m3)]])</f>
        <v/>
      </c>
      <c r="W224" s="18" t="str">
        <v/>
      </c>
      <c r="X224" s="18" t="str">
        <v/>
      </c>
      <c r="Y224" s="18">
        <v>0</v>
      </c>
      <c r="Z224" s="18">
        <v>0</v>
      </c>
    </row>
    <row r="225" spans="2:26" ht="35.1" customHeight="1" thickBot="1">
      <c r="B225" s="54">
        <v>220</v>
      </c>
      <c r="C225" s="32"/>
      <c r="D225" s="33"/>
      <c r="E225" s="104" t="str">
        <f>IF(Applications[[#This Row],[Block ID]]="","",(_xlfn.XLOOKUP(Applications[[#This Row],[Block ID]],Blocks[Block ID],Blocks[Area (ha)],"")))</f>
        <v/>
      </c>
      <c r="F225" s="33"/>
      <c r="G225" s="105" t="str">
        <f t="shared" si="9"/>
        <v/>
      </c>
      <c r="H225" s="33"/>
      <c r="I225" s="33"/>
      <c r="J225" s="33"/>
      <c r="K225" s="77"/>
      <c r="L225" s="33"/>
      <c r="M225" s="33"/>
      <c r="N225" s="23" t="str">
        <f t="shared" si="10"/>
        <v/>
      </c>
      <c r="O225" s="23">
        <f>Applications[[#This Row],[Nitrogen concentration in drain solution
 (ppm or mg/L)]]*Applications[[#This Row],[Volume of solution applied
(m3)]]/1000</f>
        <v>0</v>
      </c>
      <c r="P225" s="33"/>
      <c r="Q225" s="23" t="str">
        <f t="shared" si="11"/>
        <v/>
      </c>
      <c r="R225" s="98">
        <f>Applications[[#This Row],[Phosphorus concentration in drain solution
(ppm or mg/L)]]*Applications[[#This Row],[Volume of solution applied
(m3)]]/1000</f>
        <v>0</v>
      </c>
      <c r="S225" s="65"/>
      <c r="U225" s="99" t="str">
        <f>IF(Applications[[#This Row],[Date]]="","",Applications[[#This Row],[Date]])</f>
        <v/>
      </c>
      <c r="V225" s="18" t="str">
        <f>IF(Applications[[#This Row],[Volume of solution applied
(m3)]]="","",Applications[[#This Row],[Volume of solution applied
(m3)]])</f>
        <v/>
      </c>
      <c r="W225" s="18" t="str">
        <v/>
      </c>
      <c r="X225" s="18" t="str">
        <v/>
      </c>
      <c r="Y225" s="18">
        <v>0</v>
      </c>
      <c r="Z225" s="18">
        <v>0</v>
      </c>
    </row>
    <row r="226" spans="2:26" ht="35.1" customHeight="1" thickBot="1">
      <c r="B226" s="54">
        <v>221</v>
      </c>
      <c r="C226" s="32"/>
      <c r="D226" s="33"/>
      <c r="E226" s="104" t="str">
        <f>IF(Applications[[#This Row],[Block ID]]="","",(_xlfn.XLOOKUP(Applications[[#This Row],[Block ID]],Blocks[Block ID],Blocks[Area (ha)],"")))</f>
        <v/>
      </c>
      <c r="F226" s="33"/>
      <c r="G226" s="105" t="str">
        <f t="shared" si="9"/>
        <v/>
      </c>
      <c r="H226" s="33"/>
      <c r="I226" s="33"/>
      <c r="J226" s="33"/>
      <c r="K226" s="77"/>
      <c r="L226" s="33"/>
      <c r="M226" s="33"/>
      <c r="N226" s="23" t="str">
        <f t="shared" si="10"/>
        <v/>
      </c>
      <c r="O226" s="23">
        <f>Applications[[#This Row],[Nitrogen concentration in drain solution
 (ppm or mg/L)]]*Applications[[#This Row],[Volume of solution applied
(m3)]]/1000</f>
        <v>0</v>
      </c>
      <c r="P226" s="33"/>
      <c r="Q226" s="23" t="str">
        <f t="shared" si="11"/>
        <v/>
      </c>
      <c r="R226" s="98">
        <f>Applications[[#This Row],[Phosphorus concentration in drain solution
(ppm or mg/L)]]*Applications[[#This Row],[Volume of solution applied
(m3)]]/1000</f>
        <v>0</v>
      </c>
      <c r="S226" s="65"/>
      <c r="U226" s="99" t="str">
        <f>IF(Applications[[#This Row],[Date]]="","",Applications[[#This Row],[Date]])</f>
        <v/>
      </c>
      <c r="V226" s="18" t="str">
        <f>IF(Applications[[#This Row],[Volume of solution applied
(m3)]]="","",Applications[[#This Row],[Volume of solution applied
(m3)]])</f>
        <v/>
      </c>
      <c r="W226" s="18" t="str">
        <v/>
      </c>
      <c r="X226" s="18" t="str">
        <v/>
      </c>
      <c r="Y226" s="18">
        <v>0</v>
      </c>
      <c r="Z226" s="18">
        <v>0</v>
      </c>
    </row>
    <row r="227" spans="2:26" ht="35.1" customHeight="1" thickBot="1">
      <c r="B227" s="54">
        <v>222</v>
      </c>
      <c r="C227" s="32"/>
      <c r="D227" s="33"/>
      <c r="E227" s="104" t="str">
        <f>IF(Applications[[#This Row],[Block ID]]="","",(_xlfn.XLOOKUP(Applications[[#This Row],[Block ID]],Blocks[Block ID],Blocks[Area (ha)],"")))</f>
        <v/>
      </c>
      <c r="F227" s="33"/>
      <c r="G227" s="105" t="str">
        <f t="shared" si="9"/>
        <v/>
      </c>
      <c r="H227" s="33"/>
      <c r="I227" s="33"/>
      <c r="J227" s="33"/>
      <c r="K227" s="77"/>
      <c r="L227" s="33"/>
      <c r="M227" s="33"/>
      <c r="N227" s="23" t="str">
        <f t="shared" si="10"/>
        <v/>
      </c>
      <c r="O227" s="23">
        <f>Applications[[#This Row],[Nitrogen concentration in drain solution
 (ppm or mg/L)]]*Applications[[#This Row],[Volume of solution applied
(m3)]]/1000</f>
        <v>0</v>
      </c>
      <c r="P227" s="33"/>
      <c r="Q227" s="23" t="str">
        <f t="shared" si="11"/>
        <v/>
      </c>
      <c r="R227" s="98">
        <f>Applications[[#This Row],[Phosphorus concentration in drain solution
(ppm or mg/L)]]*Applications[[#This Row],[Volume of solution applied
(m3)]]/1000</f>
        <v>0</v>
      </c>
      <c r="S227" s="65"/>
      <c r="U227" s="99" t="str">
        <f>IF(Applications[[#This Row],[Date]]="","",Applications[[#This Row],[Date]])</f>
        <v/>
      </c>
      <c r="V227" s="18" t="str">
        <f>IF(Applications[[#This Row],[Volume of solution applied
(m3)]]="","",Applications[[#This Row],[Volume of solution applied
(m3)]])</f>
        <v/>
      </c>
      <c r="W227" s="18" t="str">
        <v/>
      </c>
      <c r="X227" s="18" t="str">
        <v/>
      </c>
      <c r="Y227" s="18">
        <v>0</v>
      </c>
      <c r="Z227" s="18">
        <v>0</v>
      </c>
    </row>
    <row r="228" spans="2:26" ht="35.1" customHeight="1" thickBot="1">
      <c r="B228" s="54">
        <v>223</v>
      </c>
      <c r="C228" s="32"/>
      <c r="D228" s="33"/>
      <c r="E228" s="104" t="str">
        <f>IF(Applications[[#This Row],[Block ID]]="","",(_xlfn.XLOOKUP(Applications[[#This Row],[Block ID]],Blocks[Block ID],Blocks[Area (ha)],"")))</f>
        <v/>
      </c>
      <c r="F228" s="33"/>
      <c r="G228" s="105" t="str">
        <f t="shared" si="9"/>
        <v/>
      </c>
      <c r="H228" s="33"/>
      <c r="I228" s="33"/>
      <c r="J228" s="33"/>
      <c r="K228" s="77"/>
      <c r="L228" s="33"/>
      <c r="M228" s="33"/>
      <c r="N228" s="23" t="str">
        <f t="shared" si="10"/>
        <v/>
      </c>
      <c r="O228" s="23">
        <f>Applications[[#This Row],[Nitrogen concentration in drain solution
 (ppm or mg/L)]]*Applications[[#This Row],[Volume of solution applied
(m3)]]/1000</f>
        <v>0</v>
      </c>
      <c r="P228" s="33"/>
      <c r="Q228" s="23" t="str">
        <f t="shared" si="11"/>
        <v/>
      </c>
      <c r="R228" s="98">
        <f>Applications[[#This Row],[Phosphorus concentration in drain solution
(ppm or mg/L)]]*Applications[[#This Row],[Volume of solution applied
(m3)]]/1000</f>
        <v>0</v>
      </c>
      <c r="S228" s="65"/>
      <c r="U228" s="99" t="str">
        <f>IF(Applications[[#This Row],[Date]]="","",Applications[[#This Row],[Date]])</f>
        <v/>
      </c>
      <c r="V228" s="18" t="str">
        <f>IF(Applications[[#This Row],[Volume of solution applied
(m3)]]="","",Applications[[#This Row],[Volume of solution applied
(m3)]])</f>
        <v/>
      </c>
      <c r="W228" s="18" t="str">
        <v/>
      </c>
      <c r="X228" s="18" t="str">
        <v/>
      </c>
      <c r="Y228" s="18">
        <v>0</v>
      </c>
      <c r="Z228" s="18">
        <v>0</v>
      </c>
    </row>
    <row r="229" spans="2:26" ht="35.1" customHeight="1" thickBot="1">
      <c r="B229" s="54">
        <v>224</v>
      </c>
      <c r="C229" s="32"/>
      <c r="D229" s="33"/>
      <c r="E229" s="104" t="str">
        <f>IF(Applications[[#This Row],[Block ID]]="","",(_xlfn.XLOOKUP(Applications[[#This Row],[Block ID]],Blocks[Block ID],Blocks[Area (ha)],"")))</f>
        <v/>
      </c>
      <c r="F229" s="33"/>
      <c r="G229" s="105" t="str">
        <f t="shared" si="9"/>
        <v/>
      </c>
      <c r="H229" s="33"/>
      <c r="I229" s="33"/>
      <c r="J229" s="33"/>
      <c r="K229" s="77"/>
      <c r="L229" s="33"/>
      <c r="M229" s="33"/>
      <c r="N229" s="23" t="str">
        <f t="shared" si="10"/>
        <v/>
      </c>
      <c r="O229" s="23">
        <f>Applications[[#This Row],[Nitrogen concentration in drain solution
 (ppm or mg/L)]]*Applications[[#This Row],[Volume of solution applied
(m3)]]/1000</f>
        <v>0</v>
      </c>
      <c r="P229" s="33"/>
      <c r="Q229" s="23" t="str">
        <f t="shared" si="11"/>
        <v/>
      </c>
      <c r="R229" s="98">
        <f>Applications[[#This Row],[Phosphorus concentration in drain solution
(ppm or mg/L)]]*Applications[[#This Row],[Volume of solution applied
(m3)]]/1000</f>
        <v>0</v>
      </c>
      <c r="S229" s="65"/>
      <c r="U229" s="99" t="str">
        <f>IF(Applications[[#This Row],[Date]]="","",Applications[[#This Row],[Date]])</f>
        <v/>
      </c>
      <c r="V229" s="18" t="str">
        <f>IF(Applications[[#This Row],[Volume of solution applied
(m3)]]="","",Applications[[#This Row],[Volume of solution applied
(m3)]])</f>
        <v/>
      </c>
      <c r="W229" s="18" t="str">
        <v/>
      </c>
      <c r="X229" s="18" t="str">
        <v/>
      </c>
      <c r="Y229" s="18">
        <v>0</v>
      </c>
      <c r="Z229" s="18">
        <v>0</v>
      </c>
    </row>
    <row r="230" spans="2:26" ht="35.1" customHeight="1" thickBot="1">
      <c r="B230" s="54">
        <v>225</v>
      </c>
      <c r="C230" s="32"/>
      <c r="D230" s="33"/>
      <c r="E230" s="104" t="str">
        <f>IF(Applications[[#This Row],[Block ID]]="","",(_xlfn.XLOOKUP(Applications[[#This Row],[Block ID]],Blocks[Block ID],Blocks[Area (ha)],"")))</f>
        <v/>
      </c>
      <c r="F230" s="33"/>
      <c r="G230" s="105" t="str">
        <f t="shared" si="9"/>
        <v/>
      </c>
      <c r="H230" s="33"/>
      <c r="I230" s="33"/>
      <c r="J230" s="33"/>
      <c r="K230" s="77"/>
      <c r="L230" s="33"/>
      <c r="M230" s="33"/>
      <c r="N230" s="23" t="str">
        <f t="shared" si="10"/>
        <v/>
      </c>
      <c r="O230" s="23">
        <f>Applications[[#This Row],[Nitrogen concentration in drain solution
 (ppm or mg/L)]]*Applications[[#This Row],[Volume of solution applied
(m3)]]/1000</f>
        <v>0</v>
      </c>
      <c r="P230" s="33"/>
      <c r="Q230" s="23" t="str">
        <f t="shared" si="11"/>
        <v/>
      </c>
      <c r="R230" s="98">
        <f>Applications[[#This Row],[Phosphorus concentration in drain solution
(ppm or mg/L)]]*Applications[[#This Row],[Volume of solution applied
(m3)]]/1000</f>
        <v>0</v>
      </c>
      <c r="S230" s="65"/>
      <c r="U230" s="99" t="str">
        <f>IF(Applications[[#This Row],[Date]]="","",Applications[[#This Row],[Date]])</f>
        <v/>
      </c>
      <c r="V230" s="18" t="str">
        <f>IF(Applications[[#This Row],[Volume of solution applied
(m3)]]="","",Applications[[#This Row],[Volume of solution applied
(m3)]])</f>
        <v/>
      </c>
      <c r="W230" s="18" t="str">
        <v/>
      </c>
      <c r="X230" s="18" t="str">
        <v/>
      </c>
      <c r="Y230" s="18">
        <v>0</v>
      </c>
      <c r="Z230" s="18">
        <v>0</v>
      </c>
    </row>
    <row r="231" spans="2:26" ht="35.1" customHeight="1" thickBot="1">
      <c r="B231" s="54">
        <v>226</v>
      </c>
      <c r="C231" s="32"/>
      <c r="D231" s="33"/>
      <c r="E231" s="104" t="str">
        <f>IF(Applications[[#This Row],[Block ID]]="","",(_xlfn.XLOOKUP(Applications[[#This Row],[Block ID]],Blocks[Block ID],Blocks[Area (ha)],"")))</f>
        <v/>
      </c>
      <c r="F231" s="33"/>
      <c r="G231" s="105" t="str">
        <f t="shared" si="9"/>
        <v/>
      </c>
      <c r="H231" s="33"/>
      <c r="I231" s="33"/>
      <c r="J231" s="33"/>
      <c r="K231" s="77"/>
      <c r="L231" s="33"/>
      <c r="M231" s="33"/>
      <c r="N231" s="23" t="str">
        <f t="shared" si="10"/>
        <v/>
      </c>
      <c r="O231" s="23">
        <f>Applications[[#This Row],[Nitrogen concentration in drain solution
 (ppm or mg/L)]]*Applications[[#This Row],[Volume of solution applied
(m3)]]/1000</f>
        <v>0</v>
      </c>
      <c r="P231" s="33"/>
      <c r="Q231" s="23" t="str">
        <f t="shared" si="11"/>
        <v/>
      </c>
      <c r="R231" s="98">
        <f>Applications[[#This Row],[Phosphorus concentration in drain solution
(ppm or mg/L)]]*Applications[[#This Row],[Volume of solution applied
(m3)]]/1000</f>
        <v>0</v>
      </c>
      <c r="S231" s="65"/>
      <c r="U231" s="99" t="str">
        <f>IF(Applications[[#This Row],[Date]]="","",Applications[[#This Row],[Date]])</f>
        <v/>
      </c>
      <c r="V231" s="18" t="str">
        <f>IF(Applications[[#This Row],[Volume of solution applied
(m3)]]="","",Applications[[#This Row],[Volume of solution applied
(m3)]])</f>
        <v/>
      </c>
      <c r="W231" s="18" t="str">
        <v/>
      </c>
      <c r="X231" s="18" t="str">
        <v/>
      </c>
      <c r="Y231" s="18">
        <v>0</v>
      </c>
      <c r="Z231" s="18">
        <v>0</v>
      </c>
    </row>
    <row r="232" spans="2:26" ht="35.1" customHeight="1" thickBot="1">
      <c r="B232" s="54">
        <v>227</v>
      </c>
      <c r="C232" s="32"/>
      <c r="D232" s="33"/>
      <c r="E232" s="104" t="str">
        <f>IF(Applications[[#This Row],[Block ID]]="","",(_xlfn.XLOOKUP(Applications[[#This Row],[Block ID]],Blocks[Block ID],Blocks[Area (ha)],"")))</f>
        <v/>
      </c>
      <c r="F232" s="33"/>
      <c r="G232" s="105" t="str">
        <f t="shared" si="9"/>
        <v/>
      </c>
      <c r="H232" s="33"/>
      <c r="I232" s="33"/>
      <c r="J232" s="33"/>
      <c r="K232" s="77"/>
      <c r="L232" s="33"/>
      <c r="M232" s="33"/>
      <c r="N232" s="23" t="str">
        <f t="shared" si="10"/>
        <v/>
      </c>
      <c r="O232" s="23">
        <f>Applications[[#This Row],[Nitrogen concentration in drain solution
 (ppm or mg/L)]]*Applications[[#This Row],[Volume of solution applied
(m3)]]/1000</f>
        <v>0</v>
      </c>
      <c r="P232" s="33"/>
      <c r="Q232" s="23" t="str">
        <f t="shared" si="11"/>
        <v/>
      </c>
      <c r="R232" s="98">
        <f>Applications[[#This Row],[Phosphorus concentration in drain solution
(ppm or mg/L)]]*Applications[[#This Row],[Volume of solution applied
(m3)]]/1000</f>
        <v>0</v>
      </c>
      <c r="S232" s="65"/>
      <c r="U232" s="99" t="str">
        <f>IF(Applications[[#This Row],[Date]]="","",Applications[[#This Row],[Date]])</f>
        <v/>
      </c>
      <c r="V232" s="18" t="str">
        <f>IF(Applications[[#This Row],[Volume of solution applied
(m3)]]="","",Applications[[#This Row],[Volume of solution applied
(m3)]])</f>
        <v/>
      </c>
      <c r="W232" s="18" t="str">
        <v/>
      </c>
      <c r="X232" s="18" t="str">
        <v/>
      </c>
      <c r="Y232" s="18">
        <v>0</v>
      </c>
      <c r="Z232" s="18">
        <v>0</v>
      </c>
    </row>
    <row r="233" spans="2:26" ht="35.1" customHeight="1" thickBot="1">
      <c r="B233" s="54">
        <v>228</v>
      </c>
      <c r="C233" s="32"/>
      <c r="D233" s="33"/>
      <c r="E233" s="104" t="str">
        <f>IF(Applications[[#This Row],[Block ID]]="","",(_xlfn.XLOOKUP(Applications[[#This Row],[Block ID]],Blocks[Block ID],Blocks[Area (ha)],"")))</f>
        <v/>
      </c>
      <c r="F233" s="33"/>
      <c r="G233" s="105" t="str">
        <f t="shared" si="9"/>
        <v/>
      </c>
      <c r="H233" s="33"/>
      <c r="I233" s="33"/>
      <c r="J233" s="33"/>
      <c r="K233" s="77"/>
      <c r="L233" s="33"/>
      <c r="M233" s="33"/>
      <c r="N233" s="23" t="str">
        <f t="shared" si="10"/>
        <v/>
      </c>
      <c r="O233" s="23">
        <f>Applications[[#This Row],[Nitrogen concentration in drain solution
 (ppm or mg/L)]]*Applications[[#This Row],[Volume of solution applied
(m3)]]/1000</f>
        <v>0</v>
      </c>
      <c r="P233" s="33"/>
      <c r="Q233" s="23" t="str">
        <f t="shared" si="11"/>
        <v/>
      </c>
      <c r="R233" s="98">
        <f>Applications[[#This Row],[Phosphorus concentration in drain solution
(ppm or mg/L)]]*Applications[[#This Row],[Volume of solution applied
(m3)]]/1000</f>
        <v>0</v>
      </c>
      <c r="S233" s="65"/>
      <c r="U233" s="99" t="str">
        <f>IF(Applications[[#This Row],[Date]]="","",Applications[[#This Row],[Date]])</f>
        <v/>
      </c>
      <c r="V233" s="18" t="str">
        <f>IF(Applications[[#This Row],[Volume of solution applied
(m3)]]="","",Applications[[#This Row],[Volume of solution applied
(m3)]])</f>
        <v/>
      </c>
      <c r="W233" s="18" t="str">
        <v/>
      </c>
      <c r="X233" s="18" t="str">
        <v/>
      </c>
      <c r="Y233" s="18">
        <v>0</v>
      </c>
      <c r="Z233" s="18">
        <v>0</v>
      </c>
    </row>
    <row r="234" spans="2:26" ht="35.1" customHeight="1" thickBot="1">
      <c r="B234" s="54">
        <v>229</v>
      </c>
      <c r="C234" s="32"/>
      <c r="D234" s="33"/>
      <c r="E234" s="104" t="str">
        <f>IF(Applications[[#This Row],[Block ID]]="","",(_xlfn.XLOOKUP(Applications[[#This Row],[Block ID]],Blocks[Block ID],Blocks[Area (ha)],"")))</f>
        <v/>
      </c>
      <c r="F234" s="33"/>
      <c r="G234" s="105" t="str">
        <f t="shared" si="9"/>
        <v/>
      </c>
      <c r="H234" s="33"/>
      <c r="I234" s="33"/>
      <c r="J234" s="33"/>
      <c r="K234" s="77"/>
      <c r="L234" s="33"/>
      <c r="M234" s="33"/>
      <c r="N234" s="23" t="str">
        <f t="shared" si="10"/>
        <v/>
      </c>
      <c r="O234" s="23">
        <f>Applications[[#This Row],[Nitrogen concentration in drain solution
 (ppm or mg/L)]]*Applications[[#This Row],[Volume of solution applied
(m3)]]/1000</f>
        <v>0</v>
      </c>
      <c r="P234" s="33"/>
      <c r="Q234" s="23" t="str">
        <f t="shared" si="11"/>
        <v/>
      </c>
      <c r="R234" s="98">
        <f>Applications[[#This Row],[Phosphorus concentration in drain solution
(ppm or mg/L)]]*Applications[[#This Row],[Volume of solution applied
(m3)]]/1000</f>
        <v>0</v>
      </c>
      <c r="S234" s="65"/>
      <c r="U234" s="99" t="str">
        <f>IF(Applications[[#This Row],[Date]]="","",Applications[[#This Row],[Date]])</f>
        <v/>
      </c>
      <c r="V234" s="18" t="str">
        <f>IF(Applications[[#This Row],[Volume of solution applied
(m3)]]="","",Applications[[#This Row],[Volume of solution applied
(m3)]])</f>
        <v/>
      </c>
      <c r="W234" s="18" t="str">
        <v/>
      </c>
      <c r="X234" s="18" t="str">
        <v/>
      </c>
      <c r="Y234" s="18">
        <v>0</v>
      </c>
      <c r="Z234" s="18">
        <v>0</v>
      </c>
    </row>
    <row r="235" spans="2:26" ht="35.1" customHeight="1" thickBot="1">
      <c r="B235" s="54">
        <v>230</v>
      </c>
      <c r="C235" s="32"/>
      <c r="D235" s="33"/>
      <c r="E235" s="104" t="str">
        <f>IF(Applications[[#This Row],[Block ID]]="","",(_xlfn.XLOOKUP(Applications[[#This Row],[Block ID]],Blocks[Block ID],Blocks[Area (ha)],"")))</f>
        <v/>
      </c>
      <c r="F235" s="33"/>
      <c r="G235" s="105" t="str">
        <f t="shared" si="9"/>
        <v/>
      </c>
      <c r="H235" s="33"/>
      <c r="I235" s="33"/>
      <c r="J235" s="33"/>
      <c r="K235" s="77"/>
      <c r="L235" s="33"/>
      <c r="M235" s="33"/>
      <c r="N235" s="23" t="str">
        <f t="shared" si="10"/>
        <v/>
      </c>
      <c r="O235" s="23">
        <f>Applications[[#This Row],[Nitrogen concentration in drain solution
 (ppm or mg/L)]]*Applications[[#This Row],[Volume of solution applied
(m3)]]/1000</f>
        <v>0</v>
      </c>
      <c r="P235" s="33"/>
      <c r="Q235" s="23" t="str">
        <f t="shared" si="11"/>
        <v/>
      </c>
      <c r="R235" s="98">
        <f>Applications[[#This Row],[Phosphorus concentration in drain solution
(ppm or mg/L)]]*Applications[[#This Row],[Volume of solution applied
(m3)]]/1000</f>
        <v>0</v>
      </c>
      <c r="S235" s="65"/>
      <c r="U235" s="99" t="str">
        <f>IF(Applications[[#This Row],[Date]]="","",Applications[[#This Row],[Date]])</f>
        <v/>
      </c>
      <c r="V235" s="18" t="str">
        <f>IF(Applications[[#This Row],[Volume of solution applied
(m3)]]="","",Applications[[#This Row],[Volume of solution applied
(m3)]])</f>
        <v/>
      </c>
      <c r="W235" s="18" t="str">
        <v/>
      </c>
      <c r="X235" s="18" t="str">
        <v/>
      </c>
      <c r="Y235" s="18">
        <v>0</v>
      </c>
      <c r="Z235" s="18">
        <v>0</v>
      </c>
    </row>
    <row r="236" spans="2:26" ht="35.1" customHeight="1" thickBot="1">
      <c r="B236" s="54">
        <v>231</v>
      </c>
      <c r="C236" s="32"/>
      <c r="D236" s="33"/>
      <c r="E236" s="104" t="str">
        <f>IF(Applications[[#This Row],[Block ID]]="","",(_xlfn.XLOOKUP(Applications[[#This Row],[Block ID]],Blocks[Block ID],Blocks[Area (ha)],"")))</f>
        <v/>
      </c>
      <c r="F236" s="33"/>
      <c r="G236" s="105" t="str">
        <f t="shared" si="9"/>
        <v/>
      </c>
      <c r="H236" s="33"/>
      <c r="I236" s="33"/>
      <c r="J236" s="33"/>
      <c r="K236" s="77"/>
      <c r="L236" s="33"/>
      <c r="M236" s="33"/>
      <c r="N236" s="23" t="str">
        <f t="shared" si="10"/>
        <v/>
      </c>
      <c r="O236" s="23">
        <f>Applications[[#This Row],[Nitrogen concentration in drain solution
 (ppm or mg/L)]]*Applications[[#This Row],[Volume of solution applied
(m3)]]/1000</f>
        <v>0</v>
      </c>
      <c r="P236" s="33"/>
      <c r="Q236" s="23" t="str">
        <f t="shared" si="11"/>
        <v/>
      </c>
      <c r="R236" s="98">
        <f>Applications[[#This Row],[Phosphorus concentration in drain solution
(ppm or mg/L)]]*Applications[[#This Row],[Volume of solution applied
(m3)]]/1000</f>
        <v>0</v>
      </c>
      <c r="S236" s="65"/>
      <c r="U236" s="99" t="str">
        <f>IF(Applications[[#This Row],[Date]]="","",Applications[[#This Row],[Date]])</f>
        <v/>
      </c>
      <c r="V236" s="18" t="str">
        <f>IF(Applications[[#This Row],[Volume of solution applied
(m3)]]="","",Applications[[#This Row],[Volume of solution applied
(m3)]])</f>
        <v/>
      </c>
      <c r="W236" s="18" t="str">
        <v/>
      </c>
      <c r="X236" s="18" t="str">
        <v/>
      </c>
      <c r="Y236" s="18">
        <v>0</v>
      </c>
      <c r="Z236" s="18">
        <v>0</v>
      </c>
    </row>
    <row r="237" spans="2:26" ht="35.1" customHeight="1" thickBot="1">
      <c r="B237" s="54">
        <v>232</v>
      </c>
      <c r="C237" s="32"/>
      <c r="D237" s="33"/>
      <c r="E237" s="104" t="str">
        <f>IF(Applications[[#This Row],[Block ID]]="","",(_xlfn.XLOOKUP(Applications[[#This Row],[Block ID]],Blocks[Block ID],Blocks[Area (ha)],"")))</f>
        <v/>
      </c>
      <c r="F237" s="33"/>
      <c r="G237" s="105" t="str">
        <f t="shared" si="9"/>
        <v/>
      </c>
      <c r="H237" s="33"/>
      <c r="I237" s="33"/>
      <c r="J237" s="33"/>
      <c r="K237" s="77"/>
      <c r="L237" s="33"/>
      <c r="M237" s="33"/>
      <c r="N237" s="23" t="str">
        <f t="shared" si="10"/>
        <v/>
      </c>
      <c r="O237" s="23">
        <f>Applications[[#This Row],[Nitrogen concentration in drain solution
 (ppm or mg/L)]]*Applications[[#This Row],[Volume of solution applied
(m3)]]/1000</f>
        <v>0</v>
      </c>
      <c r="P237" s="33"/>
      <c r="Q237" s="23" t="str">
        <f t="shared" si="11"/>
        <v/>
      </c>
      <c r="R237" s="98">
        <f>Applications[[#This Row],[Phosphorus concentration in drain solution
(ppm or mg/L)]]*Applications[[#This Row],[Volume of solution applied
(m3)]]/1000</f>
        <v>0</v>
      </c>
      <c r="S237" s="65"/>
      <c r="U237" s="99" t="str">
        <f>IF(Applications[[#This Row],[Date]]="","",Applications[[#This Row],[Date]])</f>
        <v/>
      </c>
      <c r="V237" s="18" t="str">
        <f>IF(Applications[[#This Row],[Volume of solution applied
(m3)]]="","",Applications[[#This Row],[Volume of solution applied
(m3)]])</f>
        <v/>
      </c>
      <c r="W237" s="18" t="str">
        <v/>
      </c>
      <c r="X237" s="18" t="str">
        <v/>
      </c>
      <c r="Y237" s="18">
        <v>0</v>
      </c>
      <c r="Z237" s="18">
        <v>0</v>
      </c>
    </row>
    <row r="238" spans="2:26" ht="35.1" customHeight="1" thickBot="1">
      <c r="B238" s="54">
        <v>233</v>
      </c>
      <c r="C238" s="32"/>
      <c r="D238" s="33"/>
      <c r="E238" s="104" t="str">
        <f>IF(Applications[[#This Row],[Block ID]]="","",(_xlfn.XLOOKUP(Applications[[#This Row],[Block ID]],Blocks[Block ID],Blocks[Area (ha)],"")))</f>
        <v/>
      </c>
      <c r="F238" s="33"/>
      <c r="G238" s="105" t="str">
        <f t="shared" si="9"/>
        <v/>
      </c>
      <c r="H238" s="33"/>
      <c r="I238" s="33"/>
      <c r="J238" s="33"/>
      <c r="K238" s="77"/>
      <c r="L238" s="33"/>
      <c r="M238" s="33"/>
      <c r="N238" s="23" t="str">
        <f t="shared" si="10"/>
        <v/>
      </c>
      <c r="O238" s="23">
        <f>Applications[[#This Row],[Nitrogen concentration in drain solution
 (ppm or mg/L)]]*Applications[[#This Row],[Volume of solution applied
(m3)]]/1000</f>
        <v>0</v>
      </c>
      <c r="P238" s="33"/>
      <c r="Q238" s="23" t="str">
        <f t="shared" si="11"/>
        <v/>
      </c>
      <c r="R238" s="98">
        <f>Applications[[#This Row],[Phosphorus concentration in drain solution
(ppm or mg/L)]]*Applications[[#This Row],[Volume of solution applied
(m3)]]/1000</f>
        <v>0</v>
      </c>
      <c r="S238" s="65"/>
      <c r="U238" s="99" t="str">
        <f>IF(Applications[[#This Row],[Date]]="","",Applications[[#This Row],[Date]])</f>
        <v/>
      </c>
      <c r="V238" s="18" t="str">
        <f>IF(Applications[[#This Row],[Volume of solution applied
(m3)]]="","",Applications[[#This Row],[Volume of solution applied
(m3)]])</f>
        <v/>
      </c>
      <c r="W238" s="18" t="str">
        <v/>
      </c>
      <c r="X238" s="18" t="str">
        <v/>
      </c>
      <c r="Y238" s="18">
        <v>0</v>
      </c>
      <c r="Z238" s="18">
        <v>0</v>
      </c>
    </row>
    <row r="239" spans="2:26" ht="35.1" customHeight="1" thickBot="1">
      <c r="B239" s="54">
        <v>234</v>
      </c>
      <c r="C239" s="32"/>
      <c r="D239" s="33"/>
      <c r="E239" s="104" t="str">
        <f>IF(Applications[[#This Row],[Block ID]]="","",(_xlfn.XLOOKUP(Applications[[#This Row],[Block ID]],Blocks[Block ID],Blocks[Area (ha)],"")))</f>
        <v/>
      </c>
      <c r="F239" s="33"/>
      <c r="G239" s="105" t="str">
        <f t="shared" si="9"/>
        <v/>
      </c>
      <c r="H239" s="33"/>
      <c r="I239" s="33"/>
      <c r="J239" s="33"/>
      <c r="K239" s="77"/>
      <c r="L239" s="33"/>
      <c r="M239" s="33"/>
      <c r="N239" s="23" t="str">
        <f t="shared" si="10"/>
        <v/>
      </c>
      <c r="O239" s="23">
        <f>Applications[[#This Row],[Nitrogen concentration in drain solution
 (ppm or mg/L)]]*Applications[[#This Row],[Volume of solution applied
(m3)]]/1000</f>
        <v>0</v>
      </c>
      <c r="P239" s="33"/>
      <c r="Q239" s="23" t="str">
        <f t="shared" si="11"/>
        <v/>
      </c>
      <c r="R239" s="98">
        <f>Applications[[#This Row],[Phosphorus concentration in drain solution
(ppm or mg/L)]]*Applications[[#This Row],[Volume of solution applied
(m3)]]/1000</f>
        <v>0</v>
      </c>
      <c r="S239" s="65"/>
      <c r="U239" s="99" t="str">
        <f>IF(Applications[[#This Row],[Date]]="","",Applications[[#This Row],[Date]])</f>
        <v/>
      </c>
      <c r="V239" s="18" t="str">
        <f>IF(Applications[[#This Row],[Volume of solution applied
(m3)]]="","",Applications[[#This Row],[Volume of solution applied
(m3)]])</f>
        <v/>
      </c>
      <c r="W239" s="18" t="str">
        <v/>
      </c>
      <c r="X239" s="18" t="str">
        <v/>
      </c>
      <c r="Y239" s="18">
        <v>0</v>
      </c>
      <c r="Z239" s="18">
        <v>0</v>
      </c>
    </row>
    <row r="240" spans="2:26" ht="35.1" customHeight="1" thickBot="1">
      <c r="B240" s="54">
        <v>235</v>
      </c>
      <c r="C240" s="32"/>
      <c r="D240" s="33"/>
      <c r="E240" s="104" t="str">
        <f>IF(Applications[[#This Row],[Block ID]]="","",(_xlfn.XLOOKUP(Applications[[#This Row],[Block ID]],Blocks[Block ID],Blocks[Area (ha)],"")))</f>
        <v/>
      </c>
      <c r="F240" s="33"/>
      <c r="G240" s="105" t="str">
        <f t="shared" si="9"/>
        <v/>
      </c>
      <c r="H240" s="33"/>
      <c r="I240" s="33"/>
      <c r="J240" s="33"/>
      <c r="K240" s="77"/>
      <c r="L240" s="33"/>
      <c r="M240" s="33"/>
      <c r="N240" s="23" t="str">
        <f t="shared" si="10"/>
        <v/>
      </c>
      <c r="O240" s="23">
        <f>Applications[[#This Row],[Nitrogen concentration in drain solution
 (ppm or mg/L)]]*Applications[[#This Row],[Volume of solution applied
(m3)]]/1000</f>
        <v>0</v>
      </c>
      <c r="P240" s="33"/>
      <c r="Q240" s="23" t="str">
        <f t="shared" si="11"/>
        <v/>
      </c>
      <c r="R240" s="98">
        <f>Applications[[#This Row],[Phosphorus concentration in drain solution
(ppm or mg/L)]]*Applications[[#This Row],[Volume of solution applied
(m3)]]/1000</f>
        <v>0</v>
      </c>
      <c r="S240" s="65"/>
      <c r="U240" s="99" t="str">
        <f>IF(Applications[[#This Row],[Date]]="","",Applications[[#This Row],[Date]])</f>
        <v/>
      </c>
      <c r="V240" s="18" t="str">
        <f>IF(Applications[[#This Row],[Volume of solution applied
(m3)]]="","",Applications[[#This Row],[Volume of solution applied
(m3)]])</f>
        <v/>
      </c>
      <c r="W240" s="18" t="str">
        <v/>
      </c>
      <c r="X240" s="18" t="str">
        <v/>
      </c>
      <c r="Y240" s="18">
        <v>0</v>
      </c>
      <c r="Z240" s="18">
        <v>0</v>
      </c>
    </row>
    <row r="241" spans="2:26" ht="35.1" customHeight="1" thickBot="1">
      <c r="B241" s="54">
        <v>236</v>
      </c>
      <c r="C241" s="32"/>
      <c r="D241" s="33"/>
      <c r="E241" s="104" t="str">
        <f>IF(Applications[[#This Row],[Block ID]]="","",(_xlfn.XLOOKUP(Applications[[#This Row],[Block ID]],Blocks[Block ID],Blocks[Area (ha)],"")))</f>
        <v/>
      </c>
      <c r="F241" s="33"/>
      <c r="G241" s="105" t="str">
        <f t="shared" si="9"/>
        <v/>
      </c>
      <c r="H241" s="33"/>
      <c r="I241" s="33"/>
      <c r="J241" s="33"/>
      <c r="K241" s="77"/>
      <c r="L241" s="33"/>
      <c r="M241" s="33"/>
      <c r="N241" s="23" t="str">
        <f t="shared" si="10"/>
        <v/>
      </c>
      <c r="O241" s="23">
        <f>Applications[[#This Row],[Nitrogen concentration in drain solution
 (ppm or mg/L)]]*Applications[[#This Row],[Volume of solution applied
(m3)]]/1000</f>
        <v>0</v>
      </c>
      <c r="P241" s="33"/>
      <c r="Q241" s="23" t="str">
        <f t="shared" si="11"/>
        <v/>
      </c>
      <c r="R241" s="98">
        <f>Applications[[#This Row],[Phosphorus concentration in drain solution
(ppm or mg/L)]]*Applications[[#This Row],[Volume of solution applied
(m3)]]/1000</f>
        <v>0</v>
      </c>
      <c r="S241" s="65"/>
      <c r="U241" s="99" t="str">
        <f>IF(Applications[[#This Row],[Date]]="","",Applications[[#This Row],[Date]])</f>
        <v/>
      </c>
      <c r="V241" s="18" t="str">
        <f>IF(Applications[[#This Row],[Volume of solution applied
(m3)]]="","",Applications[[#This Row],[Volume of solution applied
(m3)]])</f>
        <v/>
      </c>
      <c r="W241" s="18" t="str">
        <v/>
      </c>
      <c r="X241" s="18" t="str">
        <v/>
      </c>
      <c r="Y241" s="18">
        <v>0</v>
      </c>
      <c r="Z241" s="18">
        <v>0</v>
      </c>
    </row>
    <row r="242" spans="2:26" ht="35.1" customHeight="1" thickBot="1">
      <c r="B242" s="54">
        <v>237</v>
      </c>
      <c r="C242" s="32"/>
      <c r="D242" s="33"/>
      <c r="E242" s="104" t="str">
        <f>IF(Applications[[#This Row],[Block ID]]="","",(_xlfn.XLOOKUP(Applications[[#This Row],[Block ID]],Blocks[Block ID],Blocks[Area (ha)],"")))</f>
        <v/>
      </c>
      <c r="F242" s="33"/>
      <c r="G242" s="105" t="str">
        <f t="shared" si="9"/>
        <v/>
      </c>
      <c r="H242" s="33"/>
      <c r="I242" s="33"/>
      <c r="J242" s="33"/>
      <c r="K242" s="77"/>
      <c r="L242" s="33"/>
      <c r="M242" s="33"/>
      <c r="N242" s="23" t="str">
        <f t="shared" si="10"/>
        <v/>
      </c>
      <c r="O242" s="23">
        <f>Applications[[#This Row],[Nitrogen concentration in drain solution
 (ppm or mg/L)]]*Applications[[#This Row],[Volume of solution applied
(m3)]]/1000</f>
        <v>0</v>
      </c>
      <c r="P242" s="33"/>
      <c r="Q242" s="23" t="str">
        <f t="shared" si="11"/>
        <v/>
      </c>
      <c r="R242" s="98">
        <f>Applications[[#This Row],[Phosphorus concentration in drain solution
(ppm or mg/L)]]*Applications[[#This Row],[Volume of solution applied
(m3)]]/1000</f>
        <v>0</v>
      </c>
      <c r="S242" s="65"/>
      <c r="U242" s="99" t="str">
        <f>IF(Applications[[#This Row],[Date]]="","",Applications[[#This Row],[Date]])</f>
        <v/>
      </c>
      <c r="V242" s="18" t="str">
        <f>IF(Applications[[#This Row],[Volume of solution applied
(m3)]]="","",Applications[[#This Row],[Volume of solution applied
(m3)]])</f>
        <v/>
      </c>
      <c r="W242" s="18" t="str">
        <v/>
      </c>
      <c r="X242" s="18" t="str">
        <v/>
      </c>
      <c r="Y242" s="18">
        <v>0</v>
      </c>
      <c r="Z242" s="18">
        <v>0</v>
      </c>
    </row>
    <row r="243" spans="2:26" ht="35.1" customHeight="1" thickBot="1">
      <c r="B243" s="54">
        <v>238</v>
      </c>
      <c r="C243" s="32"/>
      <c r="D243" s="33"/>
      <c r="E243" s="104" t="str">
        <f>IF(Applications[[#This Row],[Block ID]]="","",(_xlfn.XLOOKUP(Applications[[#This Row],[Block ID]],Blocks[Block ID],Blocks[Area (ha)],"")))</f>
        <v/>
      </c>
      <c r="F243" s="33"/>
      <c r="G243" s="105" t="str">
        <f t="shared" si="9"/>
        <v/>
      </c>
      <c r="H243" s="33"/>
      <c r="I243" s="33"/>
      <c r="J243" s="33"/>
      <c r="K243" s="77"/>
      <c r="L243" s="33"/>
      <c r="M243" s="33"/>
      <c r="N243" s="23" t="str">
        <f t="shared" si="10"/>
        <v/>
      </c>
      <c r="O243" s="23">
        <f>Applications[[#This Row],[Nitrogen concentration in drain solution
 (ppm or mg/L)]]*Applications[[#This Row],[Volume of solution applied
(m3)]]/1000</f>
        <v>0</v>
      </c>
      <c r="P243" s="33"/>
      <c r="Q243" s="23" t="str">
        <f t="shared" si="11"/>
        <v/>
      </c>
      <c r="R243" s="98">
        <f>Applications[[#This Row],[Phosphorus concentration in drain solution
(ppm or mg/L)]]*Applications[[#This Row],[Volume of solution applied
(m3)]]/1000</f>
        <v>0</v>
      </c>
      <c r="S243" s="65"/>
      <c r="U243" s="99" t="str">
        <f>IF(Applications[[#This Row],[Date]]="","",Applications[[#This Row],[Date]])</f>
        <v/>
      </c>
      <c r="V243" s="18" t="str">
        <f>IF(Applications[[#This Row],[Volume of solution applied
(m3)]]="","",Applications[[#This Row],[Volume of solution applied
(m3)]])</f>
        <v/>
      </c>
      <c r="W243" s="18" t="str">
        <v/>
      </c>
      <c r="X243" s="18" t="str">
        <v/>
      </c>
      <c r="Y243" s="18">
        <v>0</v>
      </c>
      <c r="Z243" s="18">
        <v>0</v>
      </c>
    </row>
    <row r="244" spans="2:26" ht="35.1" customHeight="1" thickBot="1">
      <c r="B244" s="54">
        <v>239</v>
      </c>
      <c r="C244" s="32"/>
      <c r="D244" s="33"/>
      <c r="E244" s="104" t="str">
        <f>IF(Applications[[#This Row],[Block ID]]="","",(_xlfn.XLOOKUP(Applications[[#This Row],[Block ID]],Blocks[Block ID],Blocks[Area (ha)],"")))</f>
        <v/>
      </c>
      <c r="F244" s="33"/>
      <c r="G244" s="105" t="str">
        <f t="shared" si="9"/>
        <v/>
      </c>
      <c r="H244" s="33"/>
      <c r="I244" s="33"/>
      <c r="J244" s="33"/>
      <c r="K244" s="77"/>
      <c r="L244" s="33"/>
      <c r="M244" s="33"/>
      <c r="N244" s="23" t="str">
        <f t="shared" si="10"/>
        <v/>
      </c>
      <c r="O244" s="23">
        <f>Applications[[#This Row],[Nitrogen concentration in drain solution
 (ppm or mg/L)]]*Applications[[#This Row],[Volume of solution applied
(m3)]]/1000</f>
        <v>0</v>
      </c>
      <c r="P244" s="33"/>
      <c r="Q244" s="23" t="str">
        <f t="shared" si="11"/>
        <v/>
      </c>
      <c r="R244" s="98">
        <f>Applications[[#This Row],[Phosphorus concentration in drain solution
(ppm or mg/L)]]*Applications[[#This Row],[Volume of solution applied
(m3)]]/1000</f>
        <v>0</v>
      </c>
      <c r="S244" s="65"/>
      <c r="U244" s="99" t="str">
        <f>IF(Applications[[#This Row],[Date]]="","",Applications[[#This Row],[Date]])</f>
        <v/>
      </c>
      <c r="V244" s="18" t="str">
        <f>IF(Applications[[#This Row],[Volume of solution applied
(m3)]]="","",Applications[[#This Row],[Volume of solution applied
(m3)]])</f>
        <v/>
      </c>
      <c r="W244" s="18" t="str">
        <v/>
      </c>
      <c r="X244" s="18" t="str">
        <v/>
      </c>
      <c r="Y244" s="18">
        <v>0</v>
      </c>
      <c r="Z244" s="18">
        <v>0</v>
      </c>
    </row>
    <row r="245" spans="2:26" ht="35.1" customHeight="1" thickBot="1">
      <c r="B245" s="54">
        <v>240</v>
      </c>
      <c r="C245" s="32"/>
      <c r="D245" s="33"/>
      <c r="E245" s="104" t="str">
        <f>IF(Applications[[#This Row],[Block ID]]="","",(_xlfn.XLOOKUP(Applications[[#This Row],[Block ID]],Blocks[Block ID],Blocks[Area (ha)],"")))</f>
        <v/>
      </c>
      <c r="F245" s="33"/>
      <c r="G245" s="105" t="str">
        <f t="shared" si="9"/>
        <v/>
      </c>
      <c r="H245" s="33"/>
      <c r="I245" s="33"/>
      <c r="J245" s="33"/>
      <c r="K245" s="77"/>
      <c r="L245" s="33"/>
      <c r="M245" s="33"/>
      <c r="N245" s="23" t="str">
        <f t="shared" si="10"/>
        <v/>
      </c>
      <c r="O245" s="23">
        <f>Applications[[#This Row],[Nitrogen concentration in drain solution
 (ppm or mg/L)]]*Applications[[#This Row],[Volume of solution applied
(m3)]]/1000</f>
        <v>0</v>
      </c>
      <c r="P245" s="33"/>
      <c r="Q245" s="23" t="str">
        <f t="shared" si="11"/>
        <v/>
      </c>
      <c r="R245" s="98">
        <f>Applications[[#This Row],[Phosphorus concentration in drain solution
(ppm or mg/L)]]*Applications[[#This Row],[Volume of solution applied
(m3)]]/1000</f>
        <v>0</v>
      </c>
      <c r="S245" s="65"/>
      <c r="U245" s="99" t="str">
        <f>IF(Applications[[#This Row],[Date]]="","",Applications[[#This Row],[Date]])</f>
        <v/>
      </c>
      <c r="V245" s="18" t="str">
        <f>IF(Applications[[#This Row],[Volume of solution applied
(m3)]]="","",Applications[[#This Row],[Volume of solution applied
(m3)]])</f>
        <v/>
      </c>
      <c r="W245" s="18" t="str">
        <v/>
      </c>
      <c r="X245" s="18" t="str">
        <v/>
      </c>
      <c r="Y245" s="18">
        <v>0</v>
      </c>
      <c r="Z245" s="18">
        <v>0</v>
      </c>
    </row>
    <row r="246" spans="2:26" ht="35.1" customHeight="1" thickBot="1">
      <c r="B246" s="54">
        <v>241</v>
      </c>
      <c r="C246" s="32"/>
      <c r="D246" s="33"/>
      <c r="E246" s="104" t="str">
        <f>IF(Applications[[#This Row],[Block ID]]="","",(_xlfn.XLOOKUP(Applications[[#This Row],[Block ID]],Blocks[Block ID],Blocks[Area (ha)],"")))</f>
        <v/>
      </c>
      <c r="F246" s="33"/>
      <c r="G246" s="105" t="str">
        <f t="shared" si="9"/>
        <v/>
      </c>
      <c r="H246" s="33"/>
      <c r="I246" s="33"/>
      <c r="J246" s="33"/>
      <c r="K246" s="77"/>
      <c r="L246" s="33"/>
      <c r="M246" s="33"/>
      <c r="N246" s="23" t="str">
        <f t="shared" si="10"/>
        <v/>
      </c>
      <c r="O246" s="23">
        <f>Applications[[#This Row],[Nitrogen concentration in drain solution
 (ppm or mg/L)]]*Applications[[#This Row],[Volume of solution applied
(m3)]]/1000</f>
        <v>0</v>
      </c>
      <c r="P246" s="33"/>
      <c r="Q246" s="23" t="str">
        <f t="shared" si="11"/>
        <v/>
      </c>
      <c r="R246" s="98">
        <f>Applications[[#This Row],[Phosphorus concentration in drain solution
(ppm or mg/L)]]*Applications[[#This Row],[Volume of solution applied
(m3)]]/1000</f>
        <v>0</v>
      </c>
      <c r="S246" s="65"/>
      <c r="U246" s="99" t="str">
        <f>IF(Applications[[#This Row],[Date]]="","",Applications[[#This Row],[Date]])</f>
        <v/>
      </c>
      <c r="V246" s="18" t="str">
        <f>IF(Applications[[#This Row],[Volume of solution applied
(m3)]]="","",Applications[[#This Row],[Volume of solution applied
(m3)]])</f>
        <v/>
      </c>
      <c r="W246" s="18" t="str">
        <v/>
      </c>
      <c r="X246" s="18" t="str">
        <v/>
      </c>
      <c r="Y246" s="18">
        <v>0</v>
      </c>
      <c r="Z246" s="18">
        <v>0</v>
      </c>
    </row>
    <row r="247" spans="2:26" ht="35.1" customHeight="1" thickBot="1">
      <c r="B247" s="54">
        <v>242</v>
      </c>
      <c r="C247" s="32"/>
      <c r="D247" s="33"/>
      <c r="E247" s="104" t="str">
        <f>IF(Applications[[#This Row],[Block ID]]="","",(_xlfn.XLOOKUP(Applications[[#This Row],[Block ID]],Blocks[Block ID],Blocks[Area (ha)],"")))</f>
        <v/>
      </c>
      <c r="F247" s="33"/>
      <c r="G247" s="105" t="str">
        <f t="shared" si="9"/>
        <v/>
      </c>
      <c r="H247" s="33"/>
      <c r="I247" s="33"/>
      <c r="J247" s="33"/>
      <c r="K247" s="77"/>
      <c r="L247" s="33"/>
      <c r="M247" s="33"/>
      <c r="N247" s="23" t="str">
        <f t="shared" si="10"/>
        <v/>
      </c>
      <c r="O247" s="23">
        <f>Applications[[#This Row],[Nitrogen concentration in drain solution
 (ppm or mg/L)]]*Applications[[#This Row],[Volume of solution applied
(m3)]]/1000</f>
        <v>0</v>
      </c>
      <c r="P247" s="33"/>
      <c r="Q247" s="23" t="str">
        <f t="shared" si="11"/>
        <v/>
      </c>
      <c r="R247" s="98">
        <f>Applications[[#This Row],[Phosphorus concentration in drain solution
(ppm or mg/L)]]*Applications[[#This Row],[Volume of solution applied
(m3)]]/1000</f>
        <v>0</v>
      </c>
      <c r="S247" s="65"/>
      <c r="U247" s="99" t="str">
        <f>IF(Applications[[#This Row],[Date]]="","",Applications[[#This Row],[Date]])</f>
        <v/>
      </c>
      <c r="V247" s="18" t="str">
        <f>IF(Applications[[#This Row],[Volume of solution applied
(m3)]]="","",Applications[[#This Row],[Volume of solution applied
(m3)]])</f>
        <v/>
      </c>
      <c r="W247" s="18" t="str">
        <v/>
      </c>
      <c r="X247" s="18" t="str">
        <v/>
      </c>
      <c r="Y247" s="18">
        <v>0</v>
      </c>
      <c r="Z247" s="18">
        <v>0</v>
      </c>
    </row>
    <row r="248" spans="2:26" ht="35.1" customHeight="1" thickBot="1">
      <c r="B248" s="54">
        <v>243</v>
      </c>
      <c r="C248" s="32"/>
      <c r="D248" s="33"/>
      <c r="E248" s="104" t="str">
        <f>IF(Applications[[#This Row],[Block ID]]="","",(_xlfn.XLOOKUP(Applications[[#This Row],[Block ID]],Blocks[Block ID],Blocks[Area (ha)],"")))</f>
        <v/>
      </c>
      <c r="F248" s="33"/>
      <c r="G248" s="105" t="str">
        <f t="shared" si="9"/>
        <v/>
      </c>
      <c r="H248" s="33"/>
      <c r="I248" s="33"/>
      <c r="J248" s="33"/>
      <c r="K248" s="77"/>
      <c r="L248" s="33"/>
      <c r="M248" s="33"/>
      <c r="N248" s="23" t="str">
        <f t="shared" si="10"/>
        <v/>
      </c>
      <c r="O248" s="23">
        <f>Applications[[#This Row],[Nitrogen concentration in drain solution
 (ppm or mg/L)]]*Applications[[#This Row],[Volume of solution applied
(m3)]]/1000</f>
        <v>0</v>
      </c>
      <c r="P248" s="33"/>
      <c r="Q248" s="23" t="str">
        <f t="shared" si="11"/>
        <v/>
      </c>
      <c r="R248" s="98">
        <f>Applications[[#This Row],[Phosphorus concentration in drain solution
(ppm or mg/L)]]*Applications[[#This Row],[Volume of solution applied
(m3)]]/1000</f>
        <v>0</v>
      </c>
      <c r="S248" s="65"/>
      <c r="U248" s="99" t="str">
        <f>IF(Applications[[#This Row],[Date]]="","",Applications[[#This Row],[Date]])</f>
        <v/>
      </c>
      <c r="V248" s="18" t="str">
        <f>IF(Applications[[#This Row],[Volume of solution applied
(m3)]]="","",Applications[[#This Row],[Volume of solution applied
(m3)]])</f>
        <v/>
      </c>
      <c r="W248" s="18" t="str">
        <v/>
      </c>
      <c r="X248" s="18" t="str">
        <v/>
      </c>
      <c r="Y248" s="18">
        <v>0</v>
      </c>
      <c r="Z248" s="18">
        <v>0</v>
      </c>
    </row>
    <row r="249" spans="2:26" ht="35.1" customHeight="1" thickBot="1">
      <c r="B249" s="54">
        <v>244</v>
      </c>
      <c r="C249" s="32"/>
      <c r="D249" s="33"/>
      <c r="E249" s="104" t="str">
        <f>IF(Applications[[#This Row],[Block ID]]="","",(_xlfn.XLOOKUP(Applications[[#This Row],[Block ID]],Blocks[Block ID],Blocks[Area (ha)],"")))</f>
        <v/>
      </c>
      <c r="F249" s="33"/>
      <c r="G249" s="105" t="str">
        <f t="shared" si="9"/>
        <v/>
      </c>
      <c r="H249" s="33"/>
      <c r="I249" s="33"/>
      <c r="J249" s="33"/>
      <c r="K249" s="77"/>
      <c r="L249" s="33"/>
      <c r="M249" s="33"/>
      <c r="N249" s="23" t="str">
        <f t="shared" si="10"/>
        <v/>
      </c>
      <c r="O249" s="23">
        <f>Applications[[#This Row],[Nitrogen concentration in drain solution
 (ppm or mg/L)]]*Applications[[#This Row],[Volume of solution applied
(m3)]]/1000</f>
        <v>0</v>
      </c>
      <c r="P249" s="33"/>
      <c r="Q249" s="23" t="str">
        <f t="shared" si="11"/>
        <v/>
      </c>
      <c r="R249" s="98">
        <f>Applications[[#This Row],[Phosphorus concentration in drain solution
(ppm or mg/L)]]*Applications[[#This Row],[Volume of solution applied
(m3)]]/1000</f>
        <v>0</v>
      </c>
      <c r="S249" s="65"/>
      <c r="U249" s="99" t="str">
        <f>IF(Applications[[#This Row],[Date]]="","",Applications[[#This Row],[Date]])</f>
        <v/>
      </c>
      <c r="V249" s="18" t="str">
        <f>IF(Applications[[#This Row],[Volume of solution applied
(m3)]]="","",Applications[[#This Row],[Volume of solution applied
(m3)]])</f>
        <v/>
      </c>
      <c r="W249" s="18" t="str">
        <v/>
      </c>
      <c r="X249" s="18" t="str">
        <v/>
      </c>
      <c r="Y249" s="18">
        <v>0</v>
      </c>
      <c r="Z249" s="18">
        <v>0</v>
      </c>
    </row>
    <row r="250" spans="2:26" ht="35.1" customHeight="1" thickBot="1">
      <c r="B250" s="54">
        <v>245</v>
      </c>
      <c r="C250" s="32"/>
      <c r="D250" s="33"/>
      <c r="E250" s="104" t="str">
        <f>IF(Applications[[#This Row],[Block ID]]="","",(_xlfn.XLOOKUP(Applications[[#This Row],[Block ID]],Blocks[Block ID],Blocks[Area (ha)],"")))</f>
        <v/>
      </c>
      <c r="F250" s="33"/>
      <c r="G250" s="105" t="str">
        <f t="shared" si="9"/>
        <v/>
      </c>
      <c r="H250" s="33"/>
      <c r="I250" s="33"/>
      <c r="J250" s="33"/>
      <c r="K250" s="77"/>
      <c r="L250" s="33"/>
      <c r="M250" s="33"/>
      <c r="N250" s="23" t="str">
        <f t="shared" si="10"/>
        <v/>
      </c>
      <c r="O250" s="23">
        <f>Applications[[#This Row],[Nitrogen concentration in drain solution
 (ppm or mg/L)]]*Applications[[#This Row],[Volume of solution applied
(m3)]]/1000</f>
        <v>0</v>
      </c>
      <c r="P250" s="33"/>
      <c r="Q250" s="23" t="str">
        <f t="shared" si="11"/>
        <v/>
      </c>
      <c r="R250" s="98">
        <f>Applications[[#This Row],[Phosphorus concentration in drain solution
(ppm or mg/L)]]*Applications[[#This Row],[Volume of solution applied
(m3)]]/1000</f>
        <v>0</v>
      </c>
      <c r="S250" s="65"/>
      <c r="U250" s="99" t="str">
        <f>IF(Applications[[#This Row],[Date]]="","",Applications[[#This Row],[Date]])</f>
        <v/>
      </c>
      <c r="V250" s="18" t="str">
        <f>IF(Applications[[#This Row],[Volume of solution applied
(m3)]]="","",Applications[[#This Row],[Volume of solution applied
(m3)]])</f>
        <v/>
      </c>
      <c r="W250" s="18" t="str">
        <v/>
      </c>
      <c r="X250" s="18" t="str">
        <v/>
      </c>
      <c r="Y250" s="18">
        <v>0</v>
      </c>
      <c r="Z250" s="18">
        <v>0</v>
      </c>
    </row>
    <row r="251" spans="2:26" ht="35.1" customHeight="1" thickBot="1">
      <c r="B251" s="54">
        <v>246</v>
      </c>
      <c r="C251" s="32"/>
      <c r="D251" s="33"/>
      <c r="E251" s="104" t="str">
        <f>IF(Applications[[#This Row],[Block ID]]="","",(_xlfn.XLOOKUP(Applications[[#This Row],[Block ID]],Blocks[Block ID],Blocks[Area (ha)],"")))</f>
        <v/>
      </c>
      <c r="F251" s="33"/>
      <c r="G251" s="105" t="str">
        <f t="shared" si="9"/>
        <v/>
      </c>
      <c r="H251" s="33"/>
      <c r="I251" s="33"/>
      <c r="J251" s="33"/>
      <c r="K251" s="77"/>
      <c r="L251" s="33"/>
      <c r="M251" s="33"/>
      <c r="N251" s="23" t="str">
        <f t="shared" si="10"/>
        <v/>
      </c>
      <c r="O251" s="23">
        <f>Applications[[#This Row],[Nitrogen concentration in drain solution
 (ppm or mg/L)]]*Applications[[#This Row],[Volume of solution applied
(m3)]]/1000</f>
        <v>0</v>
      </c>
      <c r="P251" s="33"/>
      <c r="Q251" s="23" t="str">
        <f t="shared" si="11"/>
        <v/>
      </c>
      <c r="R251" s="98">
        <f>Applications[[#This Row],[Phosphorus concentration in drain solution
(ppm or mg/L)]]*Applications[[#This Row],[Volume of solution applied
(m3)]]/1000</f>
        <v>0</v>
      </c>
      <c r="S251" s="65"/>
      <c r="U251" s="99" t="str">
        <f>IF(Applications[[#This Row],[Date]]="","",Applications[[#This Row],[Date]])</f>
        <v/>
      </c>
      <c r="V251" s="18" t="str">
        <f>IF(Applications[[#This Row],[Volume of solution applied
(m3)]]="","",Applications[[#This Row],[Volume of solution applied
(m3)]])</f>
        <v/>
      </c>
      <c r="W251" s="18" t="str">
        <v/>
      </c>
      <c r="X251" s="18" t="str">
        <v/>
      </c>
      <c r="Y251" s="18">
        <v>0</v>
      </c>
      <c r="Z251" s="18">
        <v>0</v>
      </c>
    </row>
    <row r="252" spans="2:26" ht="35.1" customHeight="1" thickBot="1">
      <c r="B252" s="54">
        <v>247</v>
      </c>
      <c r="C252" s="32"/>
      <c r="D252" s="33"/>
      <c r="E252" s="104" t="str">
        <f>IF(Applications[[#This Row],[Block ID]]="","",(_xlfn.XLOOKUP(Applications[[#This Row],[Block ID]],Blocks[Block ID],Blocks[Area (ha)],"")))</f>
        <v/>
      </c>
      <c r="F252" s="33"/>
      <c r="G252" s="105" t="str">
        <f t="shared" si="9"/>
        <v/>
      </c>
      <c r="H252" s="33"/>
      <c r="I252" s="33"/>
      <c r="J252" s="33"/>
      <c r="K252" s="77"/>
      <c r="L252" s="33"/>
      <c r="M252" s="33"/>
      <c r="N252" s="23" t="str">
        <f t="shared" si="10"/>
        <v/>
      </c>
      <c r="O252" s="23">
        <f>Applications[[#This Row],[Nitrogen concentration in drain solution
 (ppm or mg/L)]]*Applications[[#This Row],[Volume of solution applied
(m3)]]/1000</f>
        <v>0</v>
      </c>
      <c r="P252" s="33"/>
      <c r="Q252" s="23" t="str">
        <f t="shared" si="11"/>
        <v/>
      </c>
      <c r="R252" s="98">
        <f>Applications[[#This Row],[Phosphorus concentration in drain solution
(ppm or mg/L)]]*Applications[[#This Row],[Volume of solution applied
(m3)]]/1000</f>
        <v>0</v>
      </c>
      <c r="S252" s="65"/>
      <c r="U252" s="99" t="str">
        <f>IF(Applications[[#This Row],[Date]]="","",Applications[[#This Row],[Date]])</f>
        <v/>
      </c>
      <c r="V252" s="18" t="str">
        <f>IF(Applications[[#This Row],[Volume of solution applied
(m3)]]="","",Applications[[#This Row],[Volume of solution applied
(m3)]])</f>
        <v/>
      </c>
      <c r="W252" s="18" t="str">
        <v/>
      </c>
      <c r="X252" s="18" t="str">
        <v/>
      </c>
      <c r="Y252" s="18">
        <v>0</v>
      </c>
      <c r="Z252" s="18">
        <v>0</v>
      </c>
    </row>
    <row r="253" spans="2:26" ht="35.1" customHeight="1" thickBot="1">
      <c r="B253" s="54">
        <v>248</v>
      </c>
      <c r="C253" s="32"/>
      <c r="D253" s="33"/>
      <c r="E253" s="104" t="str">
        <f>IF(Applications[[#This Row],[Block ID]]="","",(_xlfn.XLOOKUP(Applications[[#This Row],[Block ID]],Blocks[Block ID],Blocks[Area (ha)],"")))</f>
        <v/>
      </c>
      <c r="F253" s="33"/>
      <c r="G253" s="105" t="str">
        <f t="shared" si="9"/>
        <v/>
      </c>
      <c r="H253" s="33"/>
      <c r="I253" s="33"/>
      <c r="J253" s="33"/>
      <c r="K253" s="77"/>
      <c r="L253" s="33"/>
      <c r="M253" s="33"/>
      <c r="N253" s="23" t="str">
        <f t="shared" si="10"/>
        <v/>
      </c>
      <c r="O253" s="23">
        <f>Applications[[#This Row],[Nitrogen concentration in drain solution
 (ppm or mg/L)]]*Applications[[#This Row],[Volume of solution applied
(m3)]]/1000</f>
        <v>0</v>
      </c>
      <c r="P253" s="33"/>
      <c r="Q253" s="23" t="str">
        <f t="shared" si="11"/>
        <v/>
      </c>
      <c r="R253" s="98">
        <f>Applications[[#This Row],[Phosphorus concentration in drain solution
(ppm or mg/L)]]*Applications[[#This Row],[Volume of solution applied
(m3)]]/1000</f>
        <v>0</v>
      </c>
      <c r="S253" s="65"/>
      <c r="U253" s="99" t="str">
        <f>IF(Applications[[#This Row],[Date]]="","",Applications[[#This Row],[Date]])</f>
        <v/>
      </c>
      <c r="V253" s="18" t="str">
        <f>IF(Applications[[#This Row],[Volume of solution applied
(m3)]]="","",Applications[[#This Row],[Volume of solution applied
(m3)]])</f>
        <v/>
      </c>
      <c r="W253" s="18" t="str">
        <v/>
      </c>
      <c r="X253" s="18" t="str">
        <v/>
      </c>
      <c r="Y253" s="18">
        <v>0</v>
      </c>
      <c r="Z253" s="18">
        <v>0</v>
      </c>
    </row>
    <row r="254" spans="2:26" ht="35.1" customHeight="1" thickBot="1">
      <c r="B254" s="54">
        <v>249</v>
      </c>
      <c r="C254" s="32"/>
      <c r="D254" s="33"/>
      <c r="E254" s="104" t="str">
        <f>IF(Applications[[#This Row],[Block ID]]="","",(_xlfn.XLOOKUP(Applications[[#This Row],[Block ID]],Blocks[Block ID],Blocks[Area (ha)],"")))</f>
        <v/>
      </c>
      <c r="F254" s="33"/>
      <c r="G254" s="105" t="str">
        <f t="shared" si="9"/>
        <v/>
      </c>
      <c r="H254" s="33"/>
      <c r="I254" s="33"/>
      <c r="J254" s="33"/>
      <c r="K254" s="77"/>
      <c r="L254" s="33"/>
      <c r="M254" s="33"/>
      <c r="N254" s="23" t="str">
        <f t="shared" si="10"/>
        <v/>
      </c>
      <c r="O254" s="23">
        <f>Applications[[#This Row],[Nitrogen concentration in drain solution
 (ppm or mg/L)]]*Applications[[#This Row],[Volume of solution applied
(m3)]]/1000</f>
        <v>0</v>
      </c>
      <c r="P254" s="33"/>
      <c r="Q254" s="23" t="str">
        <f t="shared" si="11"/>
        <v/>
      </c>
      <c r="R254" s="98">
        <f>Applications[[#This Row],[Phosphorus concentration in drain solution
(ppm or mg/L)]]*Applications[[#This Row],[Volume of solution applied
(m3)]]/1000</f>
        <v>0</v>
      </c>
      <c r="S254" s="65"/>
      <c r="U254" s="99" t="str">
        <f>IF(Applications[[#This Row],[Date]]="","",Applications[[#This Row],[Date]])</f>
        <v/>
      </c>
      <c r="V254" s="18" t="str">
        <f>IF(Applications[[#This Row],[Volume of solution applied
(m3)]]="","",Applications[[#This Row],[Volume of solution applied
(m3)]])</f>
        <v/>
      </c>
      <c r="W254" s="18" t="str">
        <v/>
      </c>
      <c r="X254" s="18" t="str">
        <v/>
      </c>
      <c r="Y254" s="18">
        <v>0</v>
      </c>
      <c r="Z254" s="18">
        <v>0</v>
      </c>
    </row>
    <row r="255" spans="2:26" ht="35.1" customHeight="1" thickBot="1">
      <c r="B255" s="54">
        <v>250</v>
      </c>
      <c r="C255" s="32"/>
      <c r="D255" s="33"/>
      <c r="E255" s="104" t="str">
        <f>IF(Applications[[#This Row],[Block ID]]="","",(_xlfn.XLOOKUP(Applications[[#This Row],[Block ID]],Blocks[Block ID],Blocks[Area (ha)],"")))</f>
        <v/>
      </c>
      <c r="F255" s="33"/>
      <c r="G255" s="105" t="str">
        <f t="shared" si="9"/>
        <v/>
      </c>
      <c r="H255" s="33"/>
      <c r="I255" s="33"/>
      <c r="J255" s="33"/>
      <c r="K255" s="77"/>
      <c r="L255" s="33"/>
      <c r="M255" s="33"/>
      <c r="N255" s="23" t="str">
        <f t="shared" si="10"/>
        <v/>
      </c>
      <c r="O255" s="23">
        <f>Applications[[#This Row],[Nitrogen concentration in drain solution
 (ppm or mg/L)]]*Applications[[#This Row],[Volume of solution applied
(m3)]]/1000</f>
        <v>0</v>
      </c>
      <c r="P255" s="33"/>
      <c r="Q255" s="23" t="str">
        <f t="shared" si="11"/>
        <v/>
      </c>
      <c r="R255" s="98">
        <f>Applications[[#This Row],[Phosphorus concentration in drain solution
(ppm or mg/L)]]*Applications[[#This Row],[Volume of solution applied
(m3)]]/1000</f>
        <v>0</v>
      </c>
      <c r="S255" s="65"/>
      <c r="U255" s="99" t="str">
        <f>IF(Applications[[#This Row],[Date]]="","",Applications[[#This Row],[Date]])</f>
        <v/>
      </c>
      <c r="V255" s="18" t="str">
        <f>IF(Applications[[#This Row],[Volume of solution applied
(m3)]]="","",Applications[[#This Row],[Volume of solution applied
(m3)]])</f>
        <v/>
      </c>
      <c r="W255" s="18" t="str">
        <v/>
      </c>
      <c r="X255" s="18" t="str">
        <v/>
      </c>
      <c r="Y255" s="18">
        <v>0</v>
      </c>
      <c r="Z255" s="18">
        <v>0</v>
      </c>
    </row>
    <row r="256" spans="2:26" ht="35.1" customHeight="1" thickBot="1">
      <c r="B256" s="54">
        <v>251</v>
      </c>
      <c r="C256" s="32"/>
      <c r="D256" s="33"/>
      <c r="E256" s="104" t="str">
        <f>IF(Applications[[#This Row],[Block ID]]="","",(_xlfn.XLOOKUP(Applications[[#This Row],[Block ID]],Blocks[Block ID],Blocks[Area (ha)],"")))</f>
        <v/>
      </c>
      <c r="F256" s="33"/>
      <c r="G256" s="105" t="str">
        <f>IFERROR((IF(F256="","",((F256*1000)/(E256*10000)))),"")</f>
        <v/>
      </c>
      <c r="H256" s="33"/>
      <c r="I256" s="33"/>
      <c r="J256" s="33"/>
      <c r="K256" s="200"/>
      <c r="L256" s="33"/>
      <c r="M256" s="33"/>
      <c r="N256" s="23" t="str">
        <f>IFERROR((L256*M256/1000/E256),"")</f>
        <v/>
      </c>
      <c r="O256" s="23">
        <f>Applications[[#This Row],[Nitrogen concentration in drain solution
 (ppm or mg/L)]]*Applications[[#This Row],[Volume of solution applied
(m3)]]/1000</f>
        <v>0</v>
      </c>
      <c r="P256" s="33"/>
      <c r="Q256" s="23" t="str">
        <f>IFERROR((L256*P256/1000/E256),"")</f>
        <v/>
      </c>
      <c r="R256" s="98">
        <f>Applications[[#This Row],[Phosphorus concentration in drain solution
(ppm or mg/L)]]*Applications[[#This Row],[Volume of solution applied
(m3)]]/1000</f>
        <v>0</v>
      </c>
      <c r="S256" s="65"/>
      <c r="U256" s="99" t="str">
        <f>IF(Applications[[#This Row],[Date]]="","",Applications[[#This Row],[Date]])</f>
        <v/>
      </c>
      <c r="V256" s="18" t="str">
        <f>IF(Applications[[#This Row],[Volume of solution applied
(m3)]]="","",Applications[[#This Row],[Volume of solution applied
(m3)]])</f>
        <v/>
      </c>
      <c r="W256" s="18" t="str">
        <v/>
      </c>
      <c r="X256" s="18" t="str">
        <v/>
      </c>
      <c r="Y256" s="18">
        <v>0</v>
      </c>
      <c r="Z256" s="18">
        <v>0</v>
      </c>
    </row>
    <row r="257" spans="2:26" ht="35.1" customHeight="1" thickBot="1">
      <c r="B257" s="54">
        <v>252</v>
      </c>
      <c r="C257" s="32"/>
      <c r="D257" s="33"/>
      <c r="E257" s="104" t="str">
        <f>IF(Applications[[#This Row],[Block ID]]="","",(_xlfn.XLOOKUP(Applications[[#This Row],[Block ID]],Blocks[Block ID],Blocks[Area (ha)],"")))</f>
        <v/>
      </c>
      <c r="F257" s="33"/>
      <c r="G257" s="105" t="str">
        <f>IFERROR((IF(F257="","",((F257*1000)/(E257*10000)))),"")</f>
        <v/>
      </c>
      <c r="H257" s="33"/>
      <c r="I257" s="33"/>
      <c r="J257" s="33"/>
      <c r="K257" s="200"/>
      <c r="L257" s="33"/>
      <c r="M257" s="33"/>
      <c r="N257" s="23" t="str">
        <f>IFERROR((L257*M257/1000/E257),"")</f>
        <v/>
      </c>
      <c r="O257" s="23">
        <f>Applications[[#This Row],[Nitrogen concentration in drain solution
 (ppm or mg/L)]]*Applications[[#This Row],[Volume of solution applied
(m3)]]/1000</f>
        <v>0</v>
      </c>
      <c r="P257" s="33"/>
      <c r="Q257" s="23" t="str">
        <f>IFERROR((L257*P257/1000/E257),"")</f>
        <v/>
      </c>
      <c r="R257" s="98">
        <f>Applications[[#This Row],[Phosphorus concentration in drain solution
(ppm or mg/L)]]*Applications[[#This Row],[Volume of solution applied
(m3)]]/1000</f>
        <v>0</v>
      </c>
      <c r="S257" s="65"/>
      <c r="U257" s="99" t="str">
        <f>IF(Applications[[#This Row],[Date]]="","",Applications[[#This Row],[Date]])</f>
        <v/>
      </c>
      <c r="V257" s="18" t="str">
        <f>IF(Applications[[#This Row],[Volume of solution applied
(m3)]]="","",Applications[[#This Row],[Volume of solution applied
(m3)]])</f>
        <v/>
      </c>
      <c r="W257" s="18" t="str">
        <v/>
      </c>
      <c r="X257" s="18" t="str">
        <v/>
      </c>
      <c r="Y257" s="18">
        <v>0</v>
      </c>
      <c r="Z257" s="18">
        <v>0</v>
      </c>
    </row>
    <row r="258" spans="2:26" ht="35.1" customHeight="1" thickBot="1">
      <c r="B258" s="54">
        <v>253</v>
      </c>
      <c r="C258" s="32"/>
      <c r="D258" s="33"/>
      <c r="E258" s="104" t="str">
        <f>IF(Applications[[#This Row],[Block ID]]="","",(_xlfn.XLOOKUP(Applications[[#This Row],[Block ID]],Blocks[Block ID],Blocks[Area (ha)],"")))</f>
        <v/>
      </c>
      <c r="F258" s="33"/>
      <c r="G258" s="105" t="str">
        <f>IFERROR((IF(F258="","",((F258*1000)/(E258*10000)))),"")</f>
        <v/>
      </c>
      <c r="H258" s="33"/>
      <c r="I258" s="33"/>
      <c r="J258" s="33"/>
      <c r="K258" s="200"/>
      <c r="L258" s="33"/>
      <c r="M258" s="33"/>
      <c r="N258" s="23" t="str">
        <f>IFERROR((L258*M258/1000/E258),"")</f>
        <v/>
      </c>
      <c r="O258" s="23">
        <f>Applications[[#This Row],[Nitrogen concentration in drain solution
 (ppm or mg/L)]]*Applications[[#This Row],[Volume of solution applied
(m3)]]/1000</f>
        <v>0</v>
      </c>
      <c r="P258" s="33"/>
      <c r="Q258" s="23" t="str">
        <f>IFERROR((L258*P258/1000/E258),"")</f>
        <v/>
      </c>
      <c r="R258" s="98">
        <f>Applications[[#This Row],[Phosphorus concentration in drain solution
(ppm or mg/L)]]*Applications[[#This Row],[Volume of solution applied
(m3)]]/1000</f>
        <v>0</v>
      </c>
      <c r="S258" s="65"/>
      <c r="U258" s="99" t="str">
        <f>IF(Applications[[#This Row],[Date]]="","",Applications[[#This Row],[Date]])</f>
        <v/>
      </c>
      <c r="V258" s="18" t="str">
        <f>IF(Applications[[#This Row],[Volume of solution applied
(m3)]]="","",Applications[[#This Row],[Volume of solution applied
(m3)]])</f>
        <v/>
      </c>
      <c r="W258" s="18" t="str">
        <v/>
      </c>
      <c r="X258" s="18" t="str">
        <v/>
      </c>
      <c r="Y258" s="18">
        <v>0</v>
      </c>
      <c r="Z258" s="18">
        <v>0</v>
      </c>
    </row>
    <row r="259" spans="2:26" ht="35.1" customHeight="1" thickBot="1">
      <c r="B259" s="54">
        <v>254</v>
      </c>
      <c r="C259" s="32"/>
      <c r="D259" s="33"/>
      <c r="E259" s="104" t="str">
        <f>IF(Applications[[#This Row],[Block ID]]="","",(_xlfn.XLOOKUP(Applications[[#This Row],[Block ID]],Blocks[Block ID],Blocks[Area (ha)],"")))</f>
        <v/>
      </c>
      <c r="F259" s="33"/>
      <c r="G259" s="105" t="str">
        <f t="shared" ref="G259:G267" si="12">IFERROR((IF(F259="","",((F259*1000)/(E259*10000)))),"")</f>
        <v/>
      </c>
      <c r="H259" s="33"/>
      <c r="I259" s="33"/>
      <c r="J259" s="33"/>
      <c r="K259" s="200"/>
      <c r="L259" s="33"/>
      <c r="M259" s="33"/>
      <c r="N259" s="23" t="str">
        <f t="shared" ref="N259:N267" si="13">IFERROR((L259*M259/1000/E259),"")</f>
        <v/>
      </c>
      <c r="O259" s="23">
        <f>Applications[[#This Row],[Nitrogen concentration in drain solution
 (ppm or mg/L)]]*Applications[[#This Row],[Volume of solution applied
(m3)]]/1000</f>
        <v>0</v>
      </c>
      <c r="P259" s="33"/>
      <c r="Q259" s="23" t="str">
        <f t="shared" ref="Q259:Q267" si="14">IFERROR((L259*P259/1000/E259),"")</f>
        <v/>
      </c>
      <c r="R259" s="98">
        <f>Applications[[#This Row],[Phosphorus concentration in drain solution
(ppm or mg/L)]]*Applications[[#This Row],[Volume of solution applied
(m3)]]/1000</f>
        <v>0</v>
      </c>
      <c r="S259" s="65"/>
      <c r="U259" s="99" t="str">
        <f>IF(Applications[[#This Row],[Date]]="","",Applications[[#This Row],[Date]])</f>
        <v/>
      </c>
      <c r="V259" s="18" t="str">
        <f>IF(Applications[[#This Row],[Volume of solution applied
(m3)]]="","",Applications[[#This Row],[Volume of solution applied
(m3)]])</f>
        <v/>
      </c>
      <c r="W259" s="18" t="str">
        <v/>
      </c>
      <c r="X259" s="18" t="str">
        <v/>
      </c>
      <c r="Y259" s="18">
        <v>0</v>
      </c>
      <c r="Z259" s="18">
        <v>0</v>
      </c>
    </row>
    <row r="260" spans="2:26" ht="35.1" customHeight="1" thickBot="1">
      <c r="B260" s="54">
        <v>255</v>
      </c>
      <c r="C260" s="32"/>
      <c r="D260" s="33"/>
      <c r="E260" s="104" t="str">
        <f>IF(Applications[[#This Row],[Block ID]]="","",(_xlfn.XLOOKUP(Applications[[#This Row],[Block ID]],Blocks[Block ID],Blocks[Area (ha)],"")))</f>
        <v/>
      </c>
      <c r="F260" s="33"/>
      <c r="G260" s="105" t="str">
        <f t="shared" si="12"/>
        <v/>
      </c>
      <c r="H260" s="33"/>
      <c r="I260" s="33"/>
      <c r="J260" s="33"/>
      <c r="K260" s="200"/>
      <c r="L260" s="33"/>
      <c r="M260" s="33"/>
      <c r="N260" s="23" t="str">
        <f t="shared" si="13"/>
        <v/>
      </c>
      <c r="O260" s="23">
        <f>Applications[[#This Row],[Nitrogen concentration in drain solution
 (ppm or mg/L)]]*Applications[[#This Row],[Volume of solution applied
(m3)]]/1000</f>
        <v>0</v>
      </c>
      <c r="P260" s="33"/>
      <c r="Q260" s="23" t="str">
        <f t="shared" si="14"/>
        <v/>
      </c>
      <c r="R260" s="98">
        <f>Applications[[#This Row],[Phosphorus concentration in drain solution
(ppm or mg/L)]]*Applications[[#This Row],[Volume of solution applied
(m3)]]/1000</f>
        <v>0</v>
      </c>
      <c r="S260" s="65"/>
      <c r="U260" s="99" t="str">
        <f>IF(Applications[[#This Row],[Date]]="","",Applications[[#This Row],[Date]])</f>
        <v/>
      </c>
      <c r="V260" s="18" t="str">
        <f>IF(Applications[[#This Row],[Volume of solution applied
(m3)]]="","",Applications[[#This Row],[Volume of solution applied
(m3)]])</f>
        <v/>
      </c>
      <c r="W260" s="18" t="str">
        <v/>
      </c>
      <c r="X260" s="18" t="str">
        <v/>
      </c>
      <c r="Y260" s="18">
        <v>0</v>
      </c>
      <c r="Z260" s="18">
        <v>0</v>
      </c>
    </row>
    <row r="261" spans="2:26" ht="35.1" customHeight="1" thickBot="1">
      <c r="B261" s="54">
        <v>256</v>
      </c>
      <c r="C261" s="32"/>
      <c r="D261" s="33"/>
      <c r="E261" s="104" t="str">
        <f>IF(Applications[[#This Row],[Block ID]]="","",(_xlfn.XLOOKUP(Applications[[#This Row],[Block ID]],Blocks[Block ID],Blocks[Area (ha)],"")))</f>
        <v/>
      </c>
      <c r="F261" s="33"/>
      <c r="G261" s="105" t="str">
        <f t="shared" si="12"/>
        <v/>
      </c>
      <c r="H261" s="33"/>
      <c r="I261" s="33"/>
      <c r="J261" s="33"/>
      <c r="K261" s="200"/>
      <c r="L261" s="33"/>
      <c r="M261" s="33"/>
      <c r="N261" s="23" t="str">
        <f t="shared" si="13"/>
        <v/>
      </c>
      <c r="O261" s="23">
        <f>Applications[[#This Row],[Nitrogen concentration in drain solution
 (ppm or mg/L)]]*Applications[[#This Row],[Volume of solution applied
(m3)]]/1000</f>
        <v>0</v>
      </c>
      <c r="P261" s="33"/>
      <c r="Q261" s="23" t="str">
        <f t="shared" si="14"/>
        <v/>
      </c>
      <c r="R261" s="98">
        <f>Applications[[#This Row],[Phosphorus concentration in drain solution
(ppm or mg/L)]]*Applications[[#This Row],[Volume of solution applied
(m3)]]/1000</f>
        <v>0</v>
      </c>
      <c r="S261" s="65"/>
      <c r="U261" s="99" t="str">
        <f>IF(Applications[[#This Row],[Date]]="","",Applications[[#This Row],[Date]])</f>
        <v/>
      </c>
      <c r="V261" s="18" t="str">
        <f>IF(Applications[[#This Row],[Volume of solution applied
(m3)]]="","",Applications[[#This Row],[Volume of solution applied
(m3)]])</f>
        <v/>
      </c>
      <c r="W261" s="18" t="str">
        <v/>
      </c>
      <c r="X261" s="18" t="str">
        <v/>
      </c>
      <c r="Y261" s="18">
        <v>0</v>
      </c>
      <c r="Z261" s="18">
        <v>0</v>
      </c>
    </row>
    <row r="262" spans="2:26" ht="35.1" customHeight="1" thickBot="1">
      <c r="B262" s="54">
        <v>257</v>
      </c>
      <c r="C262" s="32"/>
      <c r="D262" s="33"/>
      <c r="E262" s="104" t="str">
        <f>IF(Applications[[#This Row],[Block ID]]="","",(_xlfn.XLOOKUP(Applications[[#This Row],[Block ID]],Blocks[Block ID],Blocks[Area (ha)],"")))</f>
        <v/>
      </c>
      <c r="F262" s="33"/>
      <c r="G262" s="105" t="str">
        <f t="shared" si="12"/>
        <v/>
      </c>
      <c r="H262" s="33"/>
      <c r="I262" s="33"/>
      <c r="J262" s="33"/>
      <c r="K262" s="200"/>
      <c r="L262" s="33"/>
      <c r="M262" s="33"/>
      <c r="N262" s="23" t="str">
        <f t="shared" si="13"/>
        <v/>
      </c>
      <c r="O262" s="23">
        <f>Applications[[#This Row],[Nitrogen concentration in drain solution
 (ppm or mg/L)]]*Applications[[#This Row],[Volume of solution applied
(m3)]]/1000</f>
        <v>0</v>
      </c>
      <c r="P262" s="33"/>
      <c r="Q262" s="23" t="str">
        <f t="shared" si="14"/>
        <v/>
      </c>
      <c r="R262" s="98">
        <f>Applications[[#This Row],[Phosphorus concentration in drain solution
(ppm or mg/L)]]*Applications[[#This Row],[Volume of solution applied
(m3)]]/1000</f>
        <v>0</v>
      </c>
      <c r="S262" s="65"/>
      <c r="U262" s="99" t="str">
        <f>IF(Applications[[#This Row],[Date]]="","",Applications[[#This Row],[Date]])</f>
        <v/>
      </c>
      <c r="V262" s="18" t="str">
        <f>IF(Applications[[#This Row],[Volume of solution applied
(m3)]]="","",Applications[[#This Row],[Volume of solution applied
(m3)]])</f>
        <v/>
      </c>
      <c r="W262" s="18" t="str">
        <v/>
      </c>
      <c r="X262" s="18" t="str">
        <v/>
      </c>
      <c r="Y262" s="18">
        <v>0</v>
      </c>
      <c r="Z262" s="18">
        <v>0</v>
      </c>
    </row>
    <row r="263" spans="2:26" ht="35.1" customHeight="1" thickBot="1">
      <c r="B263" s="54">
        <v>258</v>
      </c>
      <c r="C263" s="32"/>
      <c r="D263" s="33"/>
      <c r="E263" s="104" t="str">
        <f>IF(Applications[[#This Row],[Block ID]]="","",(_xlfn.XLOOKUP(Applications[[#This Row],[Block ID]],Blocks[Block ID],Blocks[Area (ha)],"")))</f>
        <v/>
      </c>
      <c r="F263" s="33"/>
      <c r="G263" s="105" t="str">
        <f t="shared" si="12"/>
        <v/>
      </c>
      <c r="H263" s="33"/>
      <c r="I263" s="33"/>
      <c r="J263" s="33"/>
      <c r="K263" s="200"/>
      <c r="L263" s="33"/>
      <c r="M263" s="33"/>
      <c r="N263" s="23" t="str">
        <f t="shared" si="13"/>
        <v/>
      </c>
      <c r="O263" s="23">
        <f>Applications[[#This Row],[Nitrogen concentration in drain solution
 (ppm or mg/L)]]*Applications[[#This Row],[Volume of solution applied
(m3)]]/1000</f>
        <v>0</v>
      </c>
      <c r="P263" s="33"/>
      <c r="Q263" s="23" t="str">
        <f t="shared" si="14"/>
        <v/>
      </c>
      <c r="R263" s="98">
        <f>Applications[[#This Row],[Phosphorus concentration in drain solution
(ppm or mg/L)]]*Applications[[#This Row],[Volume of solution applied
(m3)]]/1000</f>
        <v>0</v>
      </c>
      <c r="S263" s="65"/>
      <c r="U263" s="99" t="str">
        <f>IF(Applications[[#This Row],[Date]]="","",Applications[[#This Row],[Date]])</f>
        <v/>
      </c>
      <c r="V263" s="18" t="str">
        <f>IF(Applications[[#This Row],[Volume of solution applied
(m3)]]="","",Applications[[#This Row],[Volume of solution applied
(m3)]])</f>
        <v/>
      </c>
      <c r="W263" s="18" t="str">
        <v/>
      </c>
      <c r="X263" s="18" t="str">
        <v/>
      </c>
      <c r="Y263" s="18">
        <v>0</v>
      </c>
      <c r="Z263" s="18">
        <v>0</v>
      </c>
    </row>
    <row r="264" spans="2:26" ht="35.1" customHeight="1" thickBot="1">
      <c r="B264" s="54">
        <v>259</v>
      </c>
      <c r="C264" s="32"/>
      <c r="D264" s="33"/>
      <c r="E264" s="104" t="str">
        <f>IF(Applications[[#This Row],[Block ID]]="","",(_xlfn.XLOOKUP(Applications[[#This Row],[Block ID]],Blocks[Block ID],Blocks[Area (ha)],"")))</f>
        <v/>
      </c>
      <c r="F264" s="33"/>
      <c r="G264" s="105" t="str">
        <f t="shared" si="12"/>
        <v/>
      </c>
      <c r="H264" s="33"/>
      <c r="I264" s="33"/>
      <c r="J264" s="33"/>
      <c r="K264" s="200"/>
      <c r="L264" s="33"/>
      <c r="M264" s="33"/>
      <c r="N264" s="23" t="str">
        <f t="shared" si="13"/>
        <v/>
      </c>
      <c r="O264" s="23">
        <f>Applications[[#This Row],[Nitrogen concentration in drain solution
 (ppm or mg/L)]]*Applications[[#This Row],[Volume of solution applied
(m3)]]/1000</f>
        <v>0</v>
      </c>
      <c r="P264" s="33"/>
      <c r="Q264" s="23" t="str">
        <f t="shared" si="14"/>
        <v/>
      </c>
      <c r="R264" s="98">
        <f>Applications[[#This Row],[Phosphorus concentration in drain solution
(ppm or mg/L)]]*Applications[[#This Row],[Volume of solution applied
(m3)]]/1000</f>
        <v>0</v>
      </c>
      <c r="S264" s="65"/>
      <c r="U264" s="99" t="str">
        <f>IF(Applications[[#This Row],[Date]]="","",Applications[[#This Row],[Date]])</f>
        <v/>
      </c>
      <c r="V264" s="18" t="str">
        <f>IF(Applications[[#This Row],[Volume of solution applied
(m3)]]="","",Applications[[#This Row],[Volume of solution applied
(m3)]])</f>
        <v/>
      </c>
      <c r="W264" s="18" t="str">
        <v/>
      </c>
      <c r="X264" s="18" t="str">
        <v/>
      </c>
      <c r="Y264" s="18">
        <v>0</v>
      </c>
      <c r="Z264" s="18">
        <v>0</v>
      </c>
    </row>
    <row r="265" spans="2:26" ht="35.1" customHeight="1" thickBot="1">
      <c r="B265" s="54">
        <v>260</v>
      </c>
      <c r="C265" s="32"/>
      <c r="D265" s="33"/>
      <c r="E265" s="104" t="str">
        <f>IF(Applications[[#This Row],[Block ID]]="","",(_xlfn.XLOOKUP(Applications[[#This Row],[Block ID]],Blocks[Block ID],Blocks[Area (ha)],"")))</f>
        <v/>
      </c>
      <c r="F265" s="33"/>
      <c r="G265" s="105" t="str">
        <f t="shared" si="12"/>
        <v/>
      </c>
      <c r="H265" s="33"/>
      <c r="I265" s="33"/>
      <c r="J265" s="33"/>
      <c r="K265" s="200"/>
      <c r="L265" s="33"/>
      <c r="M265" s="33"/>
      <c r="N265" s="23" t="str">
        <f t="shared" si="13"/>
        <v/>
      </c>
      <c r="O265" s="23">
        <f>Applications[[#This Row],[Nitrogen concentration in drain solution
 (ppm or mg/L)]]*Applications[[#This Row],[Volume of solution applied
(m3)]]/1000</f>
        <v>0</v>
      </c>
      <c r="P265" s="33"/>
      <c r="Q265" s="23" t="str">
        <f t="shared" si="14"/>
        <v/>
      </c>
      <c r="R265" s="98">
        <f>Applications[[#This Row],[Phosphorus concentration in drain solution
(ppm or mg/L)]]*Applications[[#This Row],[Volume of solution applied
(m3)]]/1000</f>
        <v>0</v>
      </c>
      <c r="S265" s="65"/>
      <c r="U265" s="99" t="str">
        <f>IF(Applications[[#This Row],[Date]]="","",Applications[[#This Row],[Date]])</f>
        <v/>
      </c>
      <c r="V265" s="18" t="str">
        <f>IF(Applications[[#This Row],[Volume of solution applied
(m3)]]="","",Applications[[#This Row],[Volume of solution applied
(m3)]])</f>
        <v/>
      </c>
      <c r="W265" s="18" t="str">
        <v/>
      </c>
      <c r="X265" s="18" t="str">
        <v/>
      </c>
      <c r="Y265" s="18">
        <v>0</v>
      </c>
      <c r="Z265" s="18">
        <v>0</v>
      </c>
    </row>
    <row r="266" spans="2:26" ht="35.1" customHeight="1" thickBot="1">
      <c r="B266" s="54">
        <v>261</v>
      </c>
      <c r="C266" s="32"/>
      <c r="D266" s="33"/>
      <c r="E266" s="104" t="str">
        <f>IF(Applications[[#This Row],[Block ID]]="","",(_xlfn.XLOOKUP(Applications[[#This Row],[Block ID]],Blocks[Block ID],Blocks[Area (ha)],"")))</f>
        <v/>
      </c>
      <c r="F266" s="33"/>
      <c r="G266" s="105" t="str">
        <f t="shared" si="12"/>
        <v/>
      </c>
      <c r="H266" s="33"/>
      <c r="I266" s="33"/>
      <c r="J266" s="33"/>
      <c r="K266" s="200"/>
      <c r="L266" s="33"/>
      <c r="M266" s="33"/>
      <c r="N266" s="23" t="str">
        <f t="shared" si="13"/>
        <v/>
      </c>
      <c r="O266" s="23">
        <f>Applications[[#This Row],[Nitrogen concentration in drain solution
 (ppm or mg/L)]]*Applications[[#This Row],[Volume of solution applied
(m3)]]/1000</f>
        <v>0</v>
      </c>
      <c r="P266" s="33"/>
      <c r="Q266" s="23" t="str">
        <f t="shared" si="14"/>
        <v/>
      </c>
      <c r="R266" s="98">
        <f>Applications[[#This Row],[Phosphorus concentration in drain solution
(ppm or mg/L)]]*Applications[[#This Row],[Volume of solution applied
(m3)]]/1000</f>
        <v>0</v>
      </c>
      <c r="S266" s="65"/>
      <c r="U266" s="99" t="str">
        <f>IF(Applications[[#This Row],[Date]]="","",Applications[[#This Row],[Date]])</f>
        <v/>
      </c>
      <c r="V266" s="18" t="str">
        <f>IF(Applications[[#This Row],[Volume of solution applied
(m3)]]="","",Applications[[#This Row],[Volume of solution applied
(m3)]])</f>
        <v/>
      </c>
      <c r="W266" s="18" t="str">
        <v/>
      </c>
      <c r="X266" s="18" t="str">
        <v/>
      </c>
      <c r="Y266" s="18">
        <v>0</v>
      </c>
      <c r="Z266" s="18">
        <v>0</v>
      </c>
    </row>
    <row r="267" spans="2:26" ht="35.1" customHeight="1" thickBot="1">
      <c r="B267" s="54">
        <v>262</v>
      </c>
      <c r="C267" s="32"/>
      <c r="D267" s="33"/>
      <c r="E267" s="104" t="str">
        <f>IF(Applications[[#This Row],[Block ID]]="","",(_xlfn.XLOOKUP(Applications[[#This Row],[Block ID]],Blocks[Block ID],Blocks[Area (ha)],"")))</f>
        <v/>
      </c>
      <c r="F267" s="33"/>
      <c r="G267" s="105" t="str">
        <f t="shared" si="12"/>
        <v/>
      </c>
      <c r="H267" s="33"/>
      <c r="I267" s="33"/>
      <c r="J267" s="33"/>
      <c r="K267" s="200"/>
      <c r="L267" s="33"/>
      <c r="M267" s="33"/>
      <c r="N267" s="23" t="str">
        <f t="shared" si="13"/>
        <v/>
      </c>
      <c r="O267" s="23">
        <f>Applications[[#This Row],[Nitrogen concentration in drain solution
 (ppm or mg/L)]]*Applications[[#This Row],[Volume of solution applied
(m3)]]/1000</f>
        <v>0</v>
      </c>
      <c r="P267" s="33"/>
      <c r="Q267" s="23" t="str">
        <f t="shared" si="14"/>
        <v/>
      </c>
      <c r="R267" s="98">
        <f>Applications[[#This Row],[Phosphorus concentration in drain solution
(ppm or mg/L)]]*Applications[[#This Row],[Volume of solution applied
(m3)]]/1000</f>
        <v>0</v>
      </c>
      <c r="S267" s="65"/>
      <c r="U267" s="99" t="str">
        <f>IF(Applications[[#This Row],[Date]]="","",Applications[[#This Row],[Date]])</f>
        <v/>
      </c>
      <c r="V267" s="18" t="str">
        <f>IF(Applications[[#This Row],[Volume of solution applied
(m3)]]="","",Applications[[#This Row],[Volume of solution applied
(m3)]])</f>
        <v/>
      </c>
      <c r="W267" s="18" t="str">
        <v/>
      </c>
      <c r="X267" s="18" t="str">
        <v/>
      </c>
      <c r="Y267" s="18">
        <v>0</v>
      </c>
      <c r="Z267" s="18">
        <v>0</v>
      </c>
    </row>
    <row r="268" spans="2:26" ht="35.1" customHeight="1" thickBot="1">
      <c r="B268" s="54">
        <v>263</v>
      </c>
      <c r="C268" s="32"/>
      <c r="D268" s="33"/>
      <c r="E268" s="104" t="str">
        <f>IF(Applications[[#This Row],[Block ID]]="","",(_xlfn.XLOOKUP(Applications[[#This Row],[Block ID]],Blocks[Block ID],Blocks[Area (ha)],"")))</f>
        <v/>
      </c>
      <c r="F268" s="33"/>
      <c r="G268" s="105" t="str">
        <f t="shared" ref="G268:G273" si="15">IFERROR((IF(F268="","",((F268*1000)/(E268*10000)))),"")</f>
        <v/>
      </c>
      <c r="H268" s="33"/>
      <c r="I268" s="33"/>
      <c r="J268" s="33"/>
      <c r="K268" s="200"/>
      <c r="L268" s="33"/>
      <c r="M268" s="33"/>
      <c r="N268" s="23" t="str">
        <f t="shared" ref="N268:N273" si="16">IFERROR((L268*M268/1000/E268),"")</f>
        <v/>
      </c>
      <c r="O268" s="23">
        <f>Applications[[#This Row],[Nitrogen concentration in drain solution
 (ppm or mg/L)]]*Applications[[#This Row],[Volume of solution applied
(m3)]]/1000</f>
        <v>0</v>
      </c>
      <c r="P268" s="33"/>
      <c r="Q268" s="23" t="str">
        <f t="shared" ref="Q268:Q273" si="17">IFERROR((L268*P268/1000/E268),"")</f>
        <v/>
      </c>
      <c r="R268" s="98">
        <f>Applications[[#This Row],[Phosphorus concentration in drain solution
(ppm or mg/L)]]*Applications[[#This Row],[Volume of solution applied
(m3)]]/1000</f>
        <v>0</v>
      </c>
      <c r="S268" s="65"/>
      <c r="U268" s="99" t="str">
        <f>IF(Applications[[#This Row],[Date]]="","",Applications[[#This Row],[Date]])</f>
        <v/>
      </c>
      <c r="V268" s="18" t="str">
        <f>IF(Applications[[#This Row],[Volume of solution applied
(m3)]]="","",Applications[[#This Row],[Volume of solution applied
(m3)]])</f>
        <v/>
      </c>
      <c r="W268" s="18" t="str">
        <v/>
      </c>
      <c r="X268" s="18" t="str">
        <v/>
      </c>
      <c r="Y268" s="18">
        <v>0</v>
      </c>
      <c r="Z268" s="18">
        <v>0</v>
      </c>
    </row>
    <row r="269" spans="2:26" ht="35.1" customHeight="1" thickBot="1">
      <c r="B269" s="54">
        <v>264</v>
      </c>
      <c r="C269" s="32"/>
      <c r="D269" s="33"/>
      <c r="E269" s="104" t="str">
        <f>IF(Applications[[#This Row],[Block ID]]="","",(_xlfn.XLOOKUP(Applications[[#This Row],[Block ID]],Blocks[Block ID],Blocks[Area (ha)],"")))</f>
        <v/>
      </c>
      <c r="F269" s="33"/>
      <c r="G269" s="105" t="str">
        <f t="shared" si="15"/>
        <v/>
      </c>
      <c r="H269" s="33"/>
      <c r="I269" s="33"/>
      <c r="J269" s="33"/>
      <c r="K269" s="200"/>
      <c r="L269" s="33"/>
      <c r="M269" s="33"/>
      <c r="N269" s="23" t="str">
        <f t="shared" si="16"/>
        <v/>
      </c>
      <c r="O269" s="23">
        <f>Applications[[#This Row],[Nitrogen concentration in drain solution
 (ppm or mg/L)]]*Applications[[#This Row],[Volume of solution applied
(m3)]]/1000</f>
        <v>0</v>
      </c>
      <c r="P269" s="33"/>
      <c r="Q269" s="23" t="str">
        <f t="shared" si="17"/>
        <v/>
      </c>
      <c r="R269" s="98">
        <f>Applications[[#This Row],[Phosphorus concentration in drain solution
(ppm or mg/L)]]*Applications[[#This Row],[Volume of solution applied
(m3)]]/1000</f>
        <v>0</v>
      </c>
      <c r="S269" s="65"/>
      <c r="U269" s="99" t="str">
        <f>IF(Applications[[#This Row],[Date]]="","",Applications[[#This Row],[Date]])</f>
        <v/>
      </c>
      <c r="V269" s="18" t="str">
        <f>IF(Applications[[#This Row],[Volume of solution applied
(m3)]]="","",Applications[[#This Row],[Volume of solution applied
(m3)]])</f>
        <v/>
      </c>
      <c r="W269" s="18" t="str">
        <v/>
      </c>
      <c r="X269" s="18" t="str">
        <v/>
      </c>
      <c r="Y269" s="18">
        <v>0</v>
      </c>
      <c r="Z269" s="18">
        <v>0</v>
      </c>
    </row>
    <row r="270" spans="2:26" ht="35.1" customHeight="1" thickBot="1">
      <c r="B270" s="54">
        <v>265</v>
      </c>
      <c r="C270" s="32"/>
      <c r="D270" s="33"/>
      <c r="E270" s="104" t="str">
        <f>IF(Applications[[#This Row],[Block ID]]="","",(_xlfn.XLOOKUP(Applications[[#This Row],[Block ID]],Blocks[Block ID],Blocks[Area (ha)],"")))</f>
        <v/>
      </c>
      <c r="F270" s="33"/>
      <c r="G270" s="105" t="str">
        <f t="shared" si="15"/>
        <v/>
      </c>
      <c r="H270" s="33"/>
      <c r="I270" s="33"/>
      <c r="J270" s="33"/>
      <c r="K270" s="200"/>
      <c r="L270" s="33"/>
      <c r="M270" s="33"/>
      <c r="N270" s="23" t="str">
        <f t="shared" si="16"/>
        <v/>
      </c>
      <c r="O270" s="23">
        <f>Applications[[#This Row],[Nitrogen concentration in drain solution
 (ppm or mg/L)]]*Applications[[#This Row],[Volume of solution applied
(m3)]]/1000</f>
        <v>0</v>
      </c>
      <c r="P270" s="33"/>
      <c r="Q270" s="23" t="str">
        <f t="shared" si="17"/>
        <v/>
      </c>
      <c r="R270" s="98">
        <f>Applications[[#This Row],[Phosphorus concentration in drain solution
(ppm or mg/L)]]*Applications[[#This Row],[Volume of solution applied
(m3)]]/1000</f>
        <v>0</v>
      </c>
      <c r="S270" s="65"/>
      <c r="U270" s="99" t="str">
        <f>IF(Applications[[#This Row],[Date]]="","",Applications[[#This Row],[Date]])</f>
        <v/>
      </c>
      <c r="V270" s="18" t="str">
        <f>IF(Applications[[#This Row],[Volume of solution applied
(m3)]]="","",Applications[[#This Row],[Volume of solution applied
(m3)]])</f>
        <v/>
      </c>
      <c r="W270" s="18" t="str">
        <v/>
      </c>
      <c r="X270" s="18" t="str">
        <v/>
      </c>
      <c r="Y270" s="18">
        <v>0</v>
      </c>
      <c r="Z270" s="18">
        <v>0</v>
      </c>
    </row>
    <row r="271" spans="2:26" ht="35.1" customHeight="1" thickBot="1">
      <c r="B271" s="54">
        <v>266</v>
      </c>
      <c r="C271" s="32"/>
      <c r="D271" s="33"/>
      <c r="E271" s="104" t="str">
        <f>IF(Applications[[#This Row],[Block ID]]="","",(_xlfn.XLOOKUP(Applications[[#This Row],[Block ID]],Blocks[Block ID],Blocks[Area (ha)],"")))</f>
        <v/>
      </c>
      <c r="F271" s="33"/>
      <c r="G271" s="105" t="str">
        <f t="shared" si="15"/>
        <v/>
      </c>
      <c r="H271" s="33"/>
      <c r="I271" s="33"/>
      <c r="J271" s="33"/>
      <c r="K271" s="200"/>
      <c r="L271" s="33"/>
      <c r="M271" s="33"/>
      <c r="N271" s="23" t="str">
        <f t="shared" si="16"/>
        <v/>
      </c>
      <c r="O271" s="23">
        <f>Applications[[#This Row],[Nitrogen concentration in drain solution
 (ppm or mg/L)]]*Applications[[#This Row],[Volume of solution applied
(m3)]]/1000</f>
        <v>0</v>
      </c>
      <c r="P271" s="33"/>
      <c r="Q271" s="23" t="str">
        <f t="shared" si="17"/>
        <v/>
      </c>
      <c r="R271" s="98">
        <f>Applications[[#This Row],[Phosphorus concentration in drain solution
(ppm or mg/L)]]*Applications[[#This Row],[Volume of solution applied
(m3)]]/1000</f>
        <v>0</v>
      </c>
      <c r="S271" s="65"/>
      <c r="U271" s="99" t="str">
        <f>IF(Applications[[#This Row],[Date]]="","",Applications[[#This Row],[Date]])</f>
        <v/>
      </c>
      <c r="V271" s="18" t="str">
        <f>IF(Applications[[#This Row],[Volume of solution applied
(m3)]]="","",Applications[[#This Row],[Volume of solution applied
(m3)]])</f>
        <v/>
      </c>
      <c r="W271" s="18" t="str">
        <v/>
      </c>
      <c r="X271" s="18" t="str">
        <v/>
      </c>
      <c r="Y271" s="18">
        <v>0</v>
      </c>
      <c r="Z271" s="18">
        <v>0</v>
      </c>
    </row>
    <row r="272" spans="2:26" ht="35.1" customHeight="1" thickBot="1">
      <c r="B272" s="54">
        <v>267</v>
      </c>
      <c r="C272" s="32"/>
      <c r="D272" s="33"/>
      <c r="E272" s="104" t="str">
        <f>IF(Applications[[#This Row],[Block ID]]="","",(_xlfn.XLOOKUP(Applications[[#This Row],[Block ID]],Blocks[Block ID],Blocks[Area (ha)],"")))</f>
        <v/>
      </c>
      <c r="F272" s="33"/>
      <c r="G272" s="105" t="str">
        <f t="shared" si="15"/>
        <v/>
      </c>
      <c r="H272" s="33"/>
      <c r="I272" s="33"/>
      <c r="J272" s="33"/>
      <c r="K272" s="200"/>
      <c r="L272" s="33"/>
      <c r="M272" s="33"/>
      <c r="N272" s="23" t="str">
        <f t="shared" si="16"/>
        <v/>
      </c>
      <c r="O272" s="23">
        <f>Applications[[#This Row],[Nitrogen concentration in drain solution
 (ppm or mg/L)]]*Applications[[#This Row],[Volume of solution applied
(m3)]]/1000</f>
        <v>0</v>
      </c>
      <c r="P272" s="33"/>
      <c r="Q272" s="23" t="str">
        <f t="shared" si="17"/>
        <v/>
      </c>
      <c r="R272" s="98">
        <f>Applications[[#This Row],[Phosphorus concentration in drain solution
(ppm or mg/L)]]*Applications[[#This Row],[Volume of solution applied
(m3)]]/1000</f>
        <v>0</v>
      </c>
      <c r="S272" s="65"/>
      <c r="U272" s="99" t="str">
        <f>IF(Applications[[#This Row],[Date]]="","",Applications[[#This Row],[Date]])</f>
        <v/>
      </c>
      <c r="V272" s="18" t="str">
        <f>IF(Applications[[#This Row],[Volume of solution applied
(m3)]]="","",Applications[[#This Row],[Volume of solution applied
(m3)]])</f>
        <v/>
      </c>
      <c r="W272" s="18" t="str">
        <v/>
      </c>
      <c r="X272" s="18" t="str">
        <v/>
      </c>
      <c r="Y272" s="18">
        <v>0</v>
      </c>
      <c r="Z272" s="18">
        <v>0</v>
      </c>
    </row>
    <row r="273" spans="2:26" ht="35.1" customHeight="1" thickBot="1">
      <c r="B273" s="54">
        <v>268</v>
      </c>
      <c r="C273" s="32"/>
      <c r="D273" s="33"/>
      <c r="E273" s="104" t="str">
        <f>IF(Applications[[#This Row],[Block ID]]="","",(_xlfn.XLOOKUP(Applications[[#This Row],[Block ID]],Blocks[Block ID],Blocks[Area (ha)],"")))</f>
        <v/>
      </c>
      <c r="F273" s="33"/>
      <c r="G273" s="105" t="str">
        <f t="shared" si="15"/>
        <v/>
      </c>
      <c r="H273" s="33"/>
      <c r="I273" s="33"/>
      <c r="J273" s="33"/>
      <c r="K273" s="200"/>
      <c r="L273" s="33"/>
      <c r="M273" s="33"/>
      <c r="N273" s="23" t="str">
        <f t="shared" si="16"/>
        <v/>
      </c>
      <c r="O273" s="23">
        <f>Applications[[#This Row],[Nitrogen concentration in drain solution
 (ppm or mg/L)]]*Applications[[#This Row],[Volume of solution applied
(m3)]]/1000</f>
        <v>0</v>
      </c>
      <c r="P273" s="33"/>
      <c r="Q273" s="23" t="str">
        <f t="shared" si="17"/>
        <v/>
      </c>
      <c r="R273" s="98">
        <f>Applications[[#This Row],[Phosphorus concentration in drain solution
(ppm or mg/L)]]*Applications[[#This Row],[Volume of solution applied
(m3)]]/1000</f>
        <v>0</v>
      </c>
      <c r="S273" s="65"/>
      <c r="U273" s="99" t="str">
        <f>IF(Applications[[#This Row],[Date]]="","",Applications[[#This Row],[Date]])</f>
        <v/>
      </c>
      <c r="V273" s="18" t="str">
        <f>IF(Applications[[#This Row],[Volume of solution applied
(m3)]]="","",Applications[[#This Row],[Volume of solution applied
(m3)]])</f>
        <v/>
      </c>
      <c r="W273" s="18" t="str">
        <v/>
      </c>
      <c r="X273" s="18" t="str">
        <v/>
      </c>
      <c r="Y273" s="18">
        <v>0</v>
      </c>
      <c r="Z273" s="18">
        <v>0</v>
      </c>
    </row>
    <row r="274" spans="2:26" ht="35.1" customHeight="1" thickBot="1">
      <c r="B274" s="54">
        <v>269</v>
      </c>
      <c r="C274" s="32"/>
      <c r="D274" s="33"/>
      <c r="E274" s="104" t="str">
        <f>IF(Applications[[#This Row],[Block ID]]="","",(_xlfn.XLOOKUP(Applications[[#This Row],[Block ID]],Blocks[Block ID],Blocks[Area (ha)],"")))</f>
        <v/>
      </c>
      <c r="F274" s="33"/>
      <c r="G274" s="105" t="str">
        <f t="shared" ref="G274:G280" si="18">IFERROR((IF(F274="","",((F274*1000)/(E274*10000)))),"")</f>
        <v/>
      </c>
      <c r="H274" s="33"/>
      <c r="I274" s="33"/>
      <c r="J274" s="33"/>
      <c r="K274" s="200"/>
      <c r="L274" s="33"/>
      <c r="M274" s="33"/>
      <c r="N274" s="23" t="str">
        <f t="shared" ref="N274:N280" si="19">IFERROR((L274*M274/1000/E274),"")</f>
        <v/>
      </c>
      <c r="O274" s="23">
        <f>Applications[[#This Row],[Nitrogen concentration in drain solution
 (ppm or mg/L)]]*Applications[[#This Row],[Volume of solution applied
(m3)]]/1000</f>
        <v>0</v>
      </c>
      <c r="P274" s="33"/>
      <c r="Q274" s="23" t="str">
        <f t="shared" ref="Q274:Q280" si="20">IFERROR((L274*P274/1000/E274),"")</f>
        <v/>
      </c>
      <c r="R274" s="98">
        <f>Applications[[#This Row],[Phosphorus concentration in drain solution
(ppm or mg/L)]]*Applications[[#This Row],[Volume of solution applied
(m3)]]/1000</f>
        <v>0</v>
      </c>
      <c r="S274" s="65"/>
      <c r="U274" s="99" t="str">
        <f>IF(Applications[[#This Row],[Date]]="","",Applications[[#This Row],[Date]])</f>
        <v/>
      </c>
      <c r="V274" s="18" t="str">
        <f>IF(Applications[[#This Row],[Volume of solution applied
(m3)]]="","",Applications[[#This Row],[Volume of solution applied
(m3)]])</f>
        <v/>
      </c>
      <c r="W274" s="18" t="str">
        <v/>
      </c>
      <c r="X274" s="18" t="str">
        <v/>
      </c>
      <c r="Y274" s="18">
        <v>0</v>
      </c>
      <c r="Z274" s="18">
        <v>0</v>
      </c>
    </row>
    <row r="275" spans="2:26" ht="35.1" customHeight="1" thickBot="1">
      <c r="B275" s="54">
        <v>270</v>
      </c>
      <c r="C275" s="32"/>
      <c r="D275" s="33"/>
      <c r="E275" s="104" t="str">
        <f>IF(Applications[[#This Row],[Block ID]]="","",(_xlfn.XLOOKUP(Applications[[#This Row],[Block ID]],Blocks[Block ID],Blocks[Area (ha)],"")))</f>
        <v/>
      </c>
      <c r="F275" s="33"/>
      <c r="G275" s="105" t="str">
        <f t="shared" si="18"/>
        <v/>
      </c>
      <c r="H275" s="33"/>
      <c r="I275" s="33"/>
      <c r="J275" s="33"/>
      <c r="K275" s="200"/>
      <c r="L275" s="33"/>
      <c r="M275" s="33"/>
      <c r="N275" s="23" t="str">
        <f t="shared" si="19"/>
        <v/>
      </c>
      <c r="O275" s="23">
        <f>Applications[[#This Row],[Nitrogen concentration in drain solution
 (ppm or mg/L)]]*Applications[[#This Row],[Volume of solution applied
(m3)]]/1000</f>
        <v>0</v>
      </c>
      <c r="P275" s="33"/>
      <c r="Q275" s="23" t="str">
        <f t="shared" si="20"/>
        <v/>
      </c>
      <c r="R275" s="98">
        <f>Applications[[#This Row],[Phosphorus concentration in drain solution
(ppm or mg/L)]]*Applications[[#This Row],[Volume of solution applied
(m3)]]/1000</f>
        <v>0</v>
      </c>
      <c r="S275" s="65"/>
      <c r="U275" s="99" t="str">
        <f>IF(Applications[[#This Row],[Date]]="","",Applications[[#This Row],[Date]])</f>
        <v/>
      </c>
      <c r="V275" s="18" t="str">
        <f>IF(Applications[[#This Row],[Volume of solution applied
(m3)]]="","",Applications[[#This Row],[Volume of solution applied
(m3)]])</f>
        <v/>
      </c>
      <c r="W275" s="18" t="str">
        <v/>
      </c>
      <c r="X275" s="18" t="str">
        <v/>
      </c>
      <c r="Y275" s="18">
        <v>0</v>
      </c>
      <c r="Z275" s="18">
        <v>0</v>
      </c>
    </row>
    <row r="276" spans="2:26" ht="35.1" customHeight="1" thickBot="1">
      <c r="B276" s="54">
        <v>271</v>
      </c>
      <c r="C276" s="32"/>
      <c r="D276" s="33"/>
      <c r="E276" s="104" t="str">
        <f>IF(Applications[[#This Row],[Block ID]]="","",(_xlfn.XLOOKUP(Applications[[#This Row],[Block ID]],Blocks[Block ID],Blocks[Area (ha)],"")))</f>
        <v/>
      </c>
      <c r="F276" s="33"/>
      <c r="G276" s="105" t="str">
        <f t="shared" si="18"/>
        <v/>
      </c>
      <c r="H276" s="33"/>
      <c r="I276" s="33"/>
      <c r="J276" s="33"/>
      <c r="K276" s="200"/>
      <c r="L276" s="33"/>
      <c r="M276" s="33"/>
      <c r="N276" s="23" t="str">
        <f t="shared" si="19"/>
        <v/>
      </c>
      <c r="O276" s="23">
        <f>Applications[[#This Row],[Nitrogen concentration in drain solution
 (ppm or mg/L)]]*Applications[[#This Row],[Volume of solution applied
(m3)]]/1000</f>
        <v>0</v>
      </c>
      <c r="P276" s="33"/>
      <c r="Q276" s="23" t="str">
        <f t="shared" si="20"/>
        <v/>
      </c>
      <c r="R276" s="98">
        <f>Applications[[#This Row],[Phosphorus concentration in drain solution
(ppm or mg/L)]]*Applications[[#This Row],[Volume of solution applied
(m3)]]/1000</f>
        <v>0</v>
      </c>
      <c r="S276" s="65"/>
      <c r="U276" s="99" t="str">
        <f>IF(Applications[[#This Row],[Date]]="","",Applications[[#This Row],[Date]])</f>
        <v/>
      </c>
      <c r="V276" s="18" t="str">
        <f>IF(Applications[[#This Row],[Volume of solution applied
(m3)]]="","",Applications[[#This Row],[Volume of solution applied
(m3)]])</f>
        <v/>
      </c>
      <c r="W276" s="18" t="str">
        <v/>
      </c>
      <c r="X276" s="18" t="str">
        <v/>
      </c>
      <c r="Y276" s="18">
        <v>0</v>
      </c>
      <c r="Z276" s="18">
        <v>0</v>
      </c>
    </row>
    <row r="277" spans="2:26" ht="35.1" customHeight="1" thickBot="1">
      <c r="B277" s="54">
        <v>272</v>
      </c>
      <c r="C277" s="32"/>
      <c r="D277" s="33"/>
      <c r="E277" s="104" t="str">
        <f>IF(Applications[[#This Row],[Block ID]]="","",(_xlfn.XLOOKUP(Applications[[#This Row],[Block ID]],Blocks[Block ID],Blocks[Area (ha)],"")))</f>
        <v/>
      </c>
      <c r="F277" s="33"/>
      <c r="G277" s="105" t="str">
        <f t="shared" si="18"/>
        <v/>
      </c>
      <c r="H277" s="33"/>
      <c r="I277" s="33"/>
      <c r="J277" s="33"/>
      <c r="K277" s="200"/>
      <c r="L277" s="33"/>
      <c r="M277" s="33"/>
      <c r="N277" s="23" t="str">
        <f t="shared" si="19"/>
        <v/>
      </c>
      <c r="O277" s="23">
        <f>Applications[[#This Row],[Nitrogen concentration in drain solution
 (ppm or mg/L)]]*Applications[[#This Row],[Volume of solution applied
(m3)]]/1000</f>
        <v>0</v>
      </c>
      <c r="P277" s="33"/>
      <c r="Q277" s="23" t="str">
        <f t="shared" si="20"/>
        <v/>
      </c>
      <c r="R277" s="98">
        <f>Applications[[#This Row],[Phosphorus concentration in drain solution
(ppm or mg/L)]]*Applications[[#This Row],[Volume of solution applied
(m3)]]/1000</f>
        <v>0</v>
      </c>
      <c r="S277" s="65"/>
      <c r="U277" s="99" t="str">
        <f>IF(Applications[[#This Row],[Date]]="","",Applications[[#This Row],[Date]])</f>
        <v/>
      </c>
      <c r="V277" s="18" t="str">
        <f>IF(Applications[[#This Row],[Volume of solution applied
(m3)]]="","",Applications[[#This Row],[Volume of solution applied
(m3)]])</f>
        <v/>
      </c>
      <c r="W277" s="18" t="str">
        <v/>
      </c>
      <c r="X277" s="18" t="str">
        <v/>
      </c>
      <c r="Y277" s="18">
        <v>0</v>
      </c>
      <c r="Z277" s="18">
        <v>0</v>
      </c>
    </row>
    <row r="278" spans="2:26" ht="35.1" customHeight="1" thickBot="1">
      <c r="B278" s="54">
        <v>273</v>
      </c>
      <c r="C278" s="32"/>
      <c r="D278" s="33"/>
      <c r="E278" s="104" t="str">
        <f>IF(Applications[[#This Row],[Block ID]]="","",(_xlfn.XLOOKUP(Applications[[#This Row],[Block ID]],Blocks[Block ID],Blocks[Area (ha)],"")))</f>
        <v/>
      </c>
      <c r="F278" s="33"/>
      <c r="G278" s="105" t="str">
        <f t="shared" si="18"/>
        <v/>
      </c>
      <c r="H278" s="33"/>
      <c r="I278" s="33"/>
      <c r="J278" s="33"/>
      <c r="K278" s="200"/>
      <c r="L278" s="33"/>
      <c r="M278" s="33"/>
      <c r="N278" s="23" t="str">
        <f t="shared" si="19"/>
        <v/>
      </c>
      <c r="O278" s="23">
        <f>Applications[[#This Row],[Nitrogen concentration in drain solution
 (ppm or mg/L)]]*Applications[[#This Row],[Volume of solution applied
(m3)]]/1000</f>
        <v>0</v>
      </c>
      <c r="P278" s="33"/>
      <c r="Q278" s="23" t="str">
        <f t="shared" si="20"/>
        <v/>
      </c>
      <c r="R278" s="98">
        <f>Applications[[#This Row],[Phosphorus concentration in drain solution
(ppm or mg/L)]]*Applications[[#This Row],[Volume of solution applied
(m3)]]/1000</f>
        <v>0</v>
      </c>
      <c r="S278" s="65"/>
      <c r="U278" s="99" t="str">
        <f>IF(Applications[[#This Row],[Date]]="","",Applications[[#This Row],[Date]])</f>
        <v/>
      </c>
      <c r="V278" s="18" t="str">
        <f>IF(Applications[[#This Row],[Volume of solution applied
(m3)]]="","",Applications[[#This Row],[Volume of solution applied
(m3)]])</f>
        <v/>
      </c>
      <c r="W278" s="18" t="str">
        <v/>
      </c>
      <c r="X278" s="18" t="str">
        <v/>
      </c>
      <c r="Y278" s="18">
        <v>0</v>
      </c>
      <c r="Z278" s="18">
        <v>0</v>
      </c>
    </row>
    <row r="279" spans="2:26" ht="35.1" customHeight="1" thickBot="1">
      <c r="B279" s="54">
        <v>274</v>
      </c>
      <c r="C279" s="32"/>
      <c r="D279" s="33"/>
      <c r="E279" s="104" t="str">
        <f>IF(Applications[[#This Row],[Block ID]]="","",(_xlfn.XLOOKUP(Applications[[#This Row],[Block ID]],Blocks[Block ID],Blocks[Area (ha)],"")))</f>
        <v/>
      </c>
      <c r="F279" s="33"/>
      <c r="G279" s="105" t="str">
        <f t="shared" si="18"/>
        <v/>
      </c>
      <c r="H279" s="33"/>
      <c r="I279" s="33"/>
      <c r="J279" s="33"/>
      <c r="K279" s="200"/>
      <c r="L279" s="33"/>
      <c r="M279" s="33"/>
      <c r="N279" s="23" t="str">
        <f t="shared" si="19"/>
        <v/>
      </c>
      <c r="O279" s="23">
        <f>Applications[[#This Row],[Nitrogen concentration in drain solution
 (ppm or mg/L)]]*Applications[[#This Row],[Volume of solution applied
(m3)]]/1000</f>
        <v>0</v>
      </c>
      <c r="P279" s="33"/>
      <c r="Q279" s="23" t="str">
        <f t="shared" si="20"/>
        <v/>
      </c>
      <c r="R279" s="98">
        <f>Applications[[#This Row],[Phosphorus concentration in drain solution
(ppm or mg/L)]]*Applications[[#This Row],[Volume of solution applied
(m3)]]/1000</f>
        <v>0</v>
      </c>
      <c r="S279" s="65"/>
      <c r="U279" s="99" t="str">
        <f>IF(Applications[[#This Row],[Date]]="","",Applications[[#This Row],[Date]])</f>
        <v/>
      </c>
      <c r="V279" s="18" t="str">
        <f>IF(Applications[[#This Row],[Volume of solution applied
(m3)]]="","",Applications[[#This Row],[Volume of solution applied
(m3)]])</f>
        <v/>
      </c>
      <c r="W279" s="18" t="str">
        <v/>
      </c>
      <c r="X279" s="18" t="str">
        <v/>
      </c>
      <c r="Y279" s="18">
        <v>0</v>
      </c>
      <c r="Z279" s="18">
        <v>0</v>
      </c>
    </row>
    <row r="280" spans="2:26" ht="35.1" customHeight="1" thickBot="1">
      <c r="B280" s="54">
        <v>275</v>
      </c>
      <c r="C280" s="32"/>
      <c r="D280" s="33"/>
      <c r="E280" s="104" t="str">
        <f>IF(Applications[[#This Row],[Block ID]]="","",(_xlfn.XLOOKUP(Applications[[#This Row],[Block ID]],Blocks[Block ID],Blocks[Area (ha)],"")))</f>
        <v/>
      </c>
      <c r="F280" s="33"/>
      <c r="G280" s="105" t="str">
        <f t="shared" si="18"/>
        <v/>
      </c>
      <c r="H280" s="33"/>
      <c r="I280" s="33"/>
      <c r="J280" s="33"/>
      <c r="K280" s="200"/>
      <c r="L280" s="33"/>
      <c r="M280" s="33"/>
      <c r="N280" s="23" t="str">
        <f t="shared" si="19"/>
        <v/>
      </c>
      <c r="O280" s="23">
        <f>Applications[[#This Row],[Nitrogen concentration in drain solution
 (ppm or mg/L)]]*Applications[[#This Row],[Volume of solution applied
(m3)]]/1000</f>
        <v>0</v>
      </c>
      <c r="P280" s="33"/>
      <c r="Q280" s="23" t="str">
        <f t="shared" si="20"/>
        <v/>
      </c>
      <c r="R280" s="98">
        <f>Applications[[#This Row],[Phosphorus concentration in drain solution
(ppm or mg/L)]]*Applications[[#This Row],[Volume of solution applied
(m3)]]/1000</f>
        <v>0</v>
      </c>
      <c r="S280" s="65"/>
      <c r="U280" s="99" t="str">
        <f>IF(Applications[[#This Row],[Date]]="","",Applications[[#This Row],[Date]])</f>
        <v/>
      </c>
      <c r="V280" s="18" t="str">
        <f>IF(Applications[[#This Row],[Volume of solution applied
(m3)]]="","",Applications[[#This Row],[Volume of solution applied
(m3)]])</f>
        <v/>
      </c>
      <c r="W280" s="18" t="str">
        <v/>
      </c>
      <c r="X280" s="18" t="str">
        <v/>
      </c>
      <c r="Y280" s="18">
        <v>0</v>
      </c>
      <c r="Z280" s="18">
        <v>0</v>
      </c>
    </row>
    <row r="281" spans="2:26" ht="35.1" customHeight="1" thickBot="1">
      <c r="B281" s="54">
        <v>276</v>
      </c>
      <c r="C281" s="32"/>
      <c r="D281" s="33"/>
      <c r="E281" s="104" t="str">
        <f>IF(Applications[[#This Row],[Block ID]]="","",(_xlfn.XLOOKUP(Applications[[#This Row],[Block ID]],Blocks[Block ID],Blocks[Area (ha)],"")))</f>
        <v/>
      </c>
      <c r="F281" s="33"/>
      <c r="G281" s="105" t="str">
        <f t="shared" ref="G281:G291" si="21">IFERROR((IF(F281="","",((F281*1000)/(E281*10000)))),"")</f>
        <v/>
      </c>
      <c r="H281" s="33"/>
      <c r="I281" s="33"/>
      <c r="J281" s="33"/>
      <c r="K281" s="200"/>
      <c r="L281" s="33"/>
      <c r="M281" s="33"/>
      <c r="N281" s="23" t="str">
        <f t="shared" ref="N281:N291" si="22">IFERROR((L281*M281/1000/E281),"")</f>
        <v/>
      </c>
      <c r="O281" s="23">
        <f>Applications[[#This Row],[Nitrogen concentration in drain solution
 (ppm or mg/L)]]*Applications[[#This Row],[Volume of solution applied
(m3)]]/1000</f>
        <v>0</v>
      </c>
      <c r="P281" s="33"/>
      <c r="Q281" s="23" t="str">
        <f t="shared" ref="Q281:Q291" si="23">IFERROR((L281*P281/1000/E281),"")</f>
        <v/>
      </c>
      <c r="R281" s="98">
        <f>Applications[[#This Row],[Phosphorus concentration in drain solution
(ppm or mg/L)]]*Applications[[#This Row],[Volume of solution applied
(m3)]]/1000</f>
        <v>0</v>
      </c>
      <c r="S281" s="65"/>
      <c r="U281" s="99" t="str">
        <f>IF(Applications[[#This Row],[Date]]="","",Applications[[#This Row],[Date]])</f>
        <v/>
      </c>
      <c r="V281" s="18" t="str">
        <f>IF(Applications[[#This Row],[Volume of solution applied
(m3)]]="","",Applications[[#This Row],[Volume of solution applied
(m3)]])</f>
        <v/>
      </c>
      <c r="W281" s="18" t="str">
        <v/>
      </c>
      <c r="X281" s="18" t="str">
        <v/>
      </c>
      <c r="Y281" s="18">
        <v>0</v>
      </c>
      <c r="Z281" s="18">
        <v>0</v>
      </c>
    </row>
    <row r="282" spans="2:26" ht="35.1" customHeight="1" thickBot="1">
      <c r="B282" s="54">
        <v>277</v>
      </c>
      <c r="C282" s="32"/>
      <c r="D282" s="33"/>
      <c r="E282" s="104" t="str">
        <f>IF(Applications[[#This Row],[Block ID]]="","",(_xlfn.XLOOKUP(Applications[[#This Row],[Block ID]],Blocks[Block ID],Blocks[Area (ha)],"")))</f>
        <v/>
      </c>
      <c r="F282" s="33"/>
      <c r="G282" s="105" t="str">
        <f t="shared" si="21"/>
        <v/>
      </c>
      <c r="H282" s="33"/>
      <c r="I282" s="33"/>
      <c r="J282" s="33"/>
      <c r="K282" s="200"/>
      <c r="L282" s="33"/>
      <c r="M282" s="33"/>
      <c r="N282" s="23" t="str">
        <f t="shared" si="22"/>
        <v/>
      </c>
      <c r="O282" s="23">
        <f>Applications[[#This Row],[Nitrogen concentration in drain solution
 (ppm or mg/L)]]*Applications[[#This Row],[Volume of solution applied
(m3)]]/1000</f>
        <v>0</v>
      </c>
      <c r="P282" s="33"/>
      <c r="Q282" s="23" t="str">
        <f t="shared" si="23"/>
        <v/>
      </c>
      <c r="R282" s="98">
        <f>Applications[[#This Row],[Phosphorus concentration in drain solution
(ppm or mg/L)]]*Applications[[#This Row],[Volume of solution applied
(m3)]]/1000</f>
        <v>0</v>
      </c>
      <c r="S282" s="65"/>
      <c r="U282" s="99" t="str">
        <f>IF(Applications[[#This Row],[Date]]="","",Applications[[#This Row],[Date]])</f>
        <v/>
      </c>
      <c r="V282" s="18" t="str">
        <f>IF(Applications[[#This Row],[Volume of solution applied
(m3)]]="","",Applications[[#This Row],[Volume of solution applied
(m3)]])</f>
        <v/>
      </c>
      <c r="W282" s="18" t="str">
        <v/>
      </c>
      <c r="X282" s="18" t="str">
        <v/>
      </c>
      <c r="Y282" s="18">
        <v>0</v>
      </c>
      <c r="Z282" s="18">
        <v>0</v>
      </c>
    </row>
    <row r="283" spans="2:26" ht="35.1" customHeight="1" thickBot="1">
      <c r="B283" s="54">
        <v>278</v>
      </c>
      <c r="C283" s="32"/>
      <c r="D283" s="33"/>
      <c r="E283" s="104" t="str">
        <f>IF(Applications[[#This Row],[Block ID]]="","",(_xlfn.XLOOKUP(Applications[[#This Row],[Block ID]],Blocks[Block ID],Blocks[Area (ha)],"")))</f>
        <v/>
      </c>
      <c r="F283" s="33"/>
      <c r="G283" s="105" t="str">
        <f t="shared" si="21"/>
        <v/>
      </c>
      <c r="H283" s="33"/>
      <c r="I283" s="33"/>
      <c r="J283" s="33"/>
      <c r="K283" s="200"/>
      <c r="L283" s="33"/>
      <c r="M283" s="33"/>
      <c r="N283" s="23" t="str">
        <f t="shared" si="22"/>
        <v/>
      </c>
      <c r="O283" s="23">
        <f>Applications[[#This Row],[Nitrogen concentration in drain solution
 (ppm or mg/L)]]*Applications[[#This Row],[Volume of solution applied
(m3)]]/1000</f>
        <v>0</v>
      </c>
      <c r="P283" s="33"/>
      <c r="Q283" s="23" t="str">
        <f t="shared" si="23"/>
        <v/>
      </c>
      <c r="R283" s="98">
        <f>Applications[[#This Row],[Phosphorus concentration in drain solution
(ppm or mg/L)]]*Applications[[#This Row],[Volume of solution applied
(m3)]]/1000</f>
        <v>0</v>
      </c>
      <c r="S283" s="65"/>
      <c r="U283" s="99" t="str">
        <f>IF(Applications[[#This Row],[Date]]="","",Applications[[#This Row],[Date]])</f>
        <v/>
      </c>
      <c r="V283" s="18" t="str">
        <f>IF(Applications[[#This Row],[Volume of solution applied
(m3)]]="","",Applications[[#This Row],[Volume of solution applied
(m3)]])</f>
        <v/>
      </c>
      <c r="W283" s="18" t="str">
        <v/>
      </c>
      <c r="X283" s="18" t="str">
        <v/>
      </c>
      <c r="Y283" s="18">
        <v>0</v>
      </c>
      <c r="Z283" s="18">
        <v>0</v>
      </c>
    </row>
    <row r="284" spans="2:26" ht="35.1" customHeight="1" thickBot="1">
      <c r="B284" s="54">
        <v>279</v>
      </c>
      <c r="C284" s="32"/>
      <c r="D284" s="33"/>
      <c r="E284" s="104" t="str">
        <f>IF(Applications[[#This Row],[Block ID]]="","",(_xlfn.XLOOKUP(Applications[[#This Row],[Block ID]],Blocks[Block ID],Blocks[Area (ha)],"")))</f>
        <v/>
      </c>
      <c r="F284" s="33"/>
      <c r="G284" s="105" t="str">
        <f t="shared" si="21"/>
        <v/>
      </c>
      <c r="H284" s="33"/>
      <c r="I284" s="33"/>
      <c r="J284" s="33"/>
      <c r="K284" s="200"/>
      <c r="L284" s="33"/>
      <c r="M284" s="33"/>
      <c r="N284" s="23" t="str">
        <f t="shared" si="22"/>
        <v/>
      </c>
      <c r="O284" s="23">
        <f>Applications[[#This Row],[Nitrogen concentration in drain solution
 (ppm or mg/L)]]*Applications[[#This Row],[Volume of solution applied
(m3)]]/1000</f>
        <v>0</v>
      </c>
      <c r="P284" s="33"/>
      <c r="Q284" s="23" t="str">
        <f t="shared" si="23"/>
        <v/>
      </c>
      <c r="R284" s="98">
        <f>Applications[[#This Row],[Phosphorus concentration in drain solution
(ppm or mg/L)]]*Applications[[#This Row],[Volume of solution applied
(m3)]]/1000</f>
        <v>0</v>
      </c>
      <c r="S284" s="65"/>
      <c r="U284" s="99" t="str">
        <f>IF(Applications[[#This Row],[Date]]="","",Applications[[#This Row],[Date]])</f>
        <v/>
      </c>
      <c r="V284" s="18" t="str">
        <f>IF(Applications[[#This Row],[Volume of solution applied
(m3)]]="","",Applications[[#This Row],[Volume of solution applied
(m3)]])</f>
        <v/>
      </c>
      <c r="W284" s="18" t="str">
        <v/>
      </c>
      <c r="X284" s="18" t="str">
        <v/>
      </c>
      <c r="Y284" s="18">
        <v>0</v>
      </c>
      <c r="Z284" s="18">
        <v>0</v>
      </c>
    </row>
    <row r="285" spans="2:26" ht="35.1" customHeight="1" thickBot="1">
      <c r="B285" s="54">
        <v>280</v>
      </c>
      <c r="C285" s="32"/>
      <c r="D285" s="33"/>
      <c r="E285" s="104" t="str">
        <f>IF(Applications[[#This Row],[Block ID]]="","",(_xlfn.XLOOKUP(Applications[[#This Row],[Block ID]],Blocks[Block ID],Blocks[Area (ha)],"")))</f>
        <v/>
      </c>
      <c r="F285" s="33"/>
      <c r="G285" s="105" t="str">
        <f t="shared" si="21"/>
        <v/>
      </c>
      <c r="H285" s="33"/>
      <c r="I285" s="33"/>
      <c r="J285" s="33"/>
      <c r="K285" s="200"/>
      <c r="L285" s="33"/>
      <c r="M285" s="33"/>
      <c r="N285" s="23" t="str">
        <f t="shared" si="22"/>
        <v/>
      </c>
      <c r="O285" s="23">
        <f>Applications[[#This Row],[Nitrogen concentration in drain solution
 (ppm or mg/L)]]*Applications[[#This Row],[Volume of solution applied
(m3)]]/1000</f>
        <v>0</v>
      </c>
      <c r="P285" s="33"/>
      <c r="Q285" s="23" t="str">
        <f t="shared" si="23"/>
        <v/>
      </c>
      <c r="R285" s="98">
        <f>Applications[[#This Row],[Phosphorus concentration in drain solution
(ppm or mg/L)]]*Applications[[#This Row],[Volume of solution applied
(m3)]]/1000</f>
        <v>0</v>
      </c>
      <c r="S285" s="65"/>
      <c r="U285" s="99" t="str">
        <f>IF(Applications[[#This Row],[Date]]="","",Applications[[#This Row],[Date]])</f>
        <v/>
      </c>
      <c r="V285" s="18" t="str">
        <f>IF(Applications[[#This Row],[Volume of solution applied
(m3)]]="","",Applications[[#This Row],[Volume of solution applied
(m3)]])</f>
        <v/>
      </c>
      <c r="W285" s="18" t="str">
        <v/>
      </c>
      <c r="X285" s="18" t="str">
        <v/>
      </c>
      <c r="Y285" s="18">
        <v>0</v>
      </c>
      <c r="Z285" s="18">
        <v>0</v>
      </c>
    </row>
    <row r="286" spans="2:26" ht="35.1" customHeight="1" thickBot="1">
      <c r="B286" s="54">
        <v>281</v>
      </c>
      <c r="C286" s="32"/>
      <c r="D286" s="33"/>
      <c r="E286" s="104" t="str">
        <f>IF(Applications[[#This Row],[Block ID]]="","",(_xlfn.XLOOKUP(Applications[[#This Row],[Block ID]],Blocks[Block ID],Blocks[Area (ha)],"")))</f>
        <v/>
      </c>
      <c r="F286" s="33"/>
      <c r="G286" s="105" t="str">
        <f t="shared" si="21"/>
        <v/>
      </c>
      <c r="H286" s="33"/>
      <c r="I286" s="33"/>
      <c r="J286" s="33"/>
      <c r="K286" s="200"/>
      <c r="L286" s="33"/>
      <c r="M286" s="33"/>
      <c r="N286" s="23" t="str">
        <f t="shared" si="22"/>
        <v/>
      </c>
      <c r="O286" s="23">
        <f>Applications[[#This Row],[Nitrogen concentration in drain solution
 (ppm or mg/L)]]*Applications[[#This Row],[Volume of solution applied
(m3)]]/1000</f>
        <v>0</v>
      </c>
      <c r="P286" s="33"/>
      <c r="Q286" s="23" t="str">
        <f t="shared" si="23"/>
        <v/>
      </c>
      <c r="R286" s="98">
        <f>Applications[[#This Row],[Phosphorus concentration in drain solution
(ppm or mg/L)]]*Applications[[#This Row],[Volume of solution applied
(m3)]]/1000</f>
        <v>0</v>
      </c>
      <c r="S286" s="65"/>
      <c r="U286" s="99" t="str">
        <f>IF(Applications[[#This Row],[Date]]="","",Applications[[#This Row],[Date]])</f>
        <v/>
      </c>
      <c r="V286" s="18" t="str">
        <f>IF(Applications[[#This Row],[Volume of solution applied
(m3)]]="","",Applications[[#This Row],[Volume of solution applied
(m3)]])</f>
        <v/>
      </c>
      <c r="W286" s="18" t="str">
        <v/>
      </c>
      <c r="X286" s="18" t="str">
        <v/>
      </c>
      <c r="Y286" s="18">
        <v>0</v>
      </c>
      <c r="Z286" s="18">
        <v>0</v>
      </c>
    </row>
    <row r="287" spans="2:26" ht="35.1" customHeight="1" thickBot="1">
      <c r="B287" s="54">
        <v>282</v>
      </c>
      <c r="C287" s="32"/>
      <c r="D287" s="33"/>
      <c r="E287" s="104" t="str">
        <f>IF(Applications[[#This Row],[Block ID]]="","",(_xlfn.XLOOKUP(Applications[[#This Row],[Block ID]],Blocks[Block ID],Blocks[Area (ha)],"")))</f>
        <v/>
      </c>
      <c r="F287" s="33"/>
      <c r="G287" s="105" t="str">
        <f t="shared" si="21"/>
        <v/>
      </c>
      <c r="H287" s="33"/>
      <c r="I287" s="33"/>
      <c r="J287" s="33"/>
      <c r="K287" s="200"/>
      <c r="L287" s="33"/>
      <c r="M287" s="33"/>
      <c r="N287" s="23" t="str">
        <f t="shared" si="22"/>
        <v/>
      </c>
      <c r="O287" s="23">
        <f>Applications[[#This Row],[Nitrogen concentration in drain solution
 (ppm or mg/L)]]*Applications[[#This Row],[Volume of solution applied
(m3)]]/1000</f>
        <v>0</v>
      </c>
      <c r="P287" s="33"/>
      <c r="Q287" s="23" t="str">
        <f t="shared" si="23"/>
        <v/>
      </c>
      <c r="R287" s="98">
        <f>Applications[[#This Row],[Phosphorus concentration in drain solution
(ppm or mg/L)]]*Applications[[#This Row],[Volume of solution applied
(m3)]]/1000</f>
        <v>0</v>
      </c>
      <c r="S287" s="65"/>
      <c r="U287" s="99" t="str">
        <f>IF(Applications[[#This Row],[Date]]="","",Applications[[#This Row],[Date]])</f>
        <v/>
      </c>
      <c r="V287" s="18" t="str">
        <f>IF(Applications[[#This Row],[Volume of solution applied
(m3)]]="","",Applications[[#This Row],[Volume of solution applied
(m3)]])</f>
        <v/>
      </c>
      <c r="W287" s="18" t="str">
        <v/>
      </c>
      <c r="X287" s="18" t="str">
        <v/>
      </c>
      <c r="Y287" s="18">
        <v>0</v>
      </c>
      <c r="Z287" s="18">
        <v>0</v>
      </c>
    </row>
    <row r="288" spans="2:26" ht="35.1" customHeight="1" thickBot="1">
      <c r="B288" s="54">
        <v>283</v>
      </c>
      <c r="C288" s="32"/>
      <c r="D288" s="33"/>
      <c r="E288" s="104" t="str">
        <f>IF(Applications[[#This Row],[Block ID]]="","",(_xlfn.XLOOKUP(Applications[[#This Row],[Block ID]],Blocks[Block ID],Blocks[Area (ha)],"")))</f>
        <v/>
      </c>
      <c r="F288" s="33"/>
      <c r="G288" s="105" t="str">
        <f t="shared" si="21"/>
        <v/>
      </c>
      <c r="H288" s="33"/>
      <c r="I288" s="33"/>
      <c r="J288" s="33"/>
      <c r="K288" s="200"/>
      <c r="L288" s="33"/>
      <c r="M288" s="33"/>
      <c r="N288" s="23" t="str">
        <f t="shared" si="22"/>
        <v/>
      </c>
      <c r="O288" s="23">
        <f>Applications[[#This Row],[Nitrogen concentration in drain solution
 (ppm or mg/L)]]*Applications[[#This Row],[Volume of solution applied
(m3)]]/1000</f>
        <v>0</v>
      </c>
      <c r="P288" s="33"/>
      <c r="Q288" s="23" t="str">
        <f t="shared" si="23"/>
        <v/>
      </c>
      <c r="R288" s="98">
        <f>Applications[[#This Row],[Phosphorus concentration in drain solution
(ppm or mg/L)]]*Applications[[#This Row],[Volume of solution applied
(m3)]]/1000</f>
        <v>0</v>
      </c>
      <c r="S288" s="65"/>
      <c r="U288" s="99" t="str">
        <f>IF(Applications[[#This Row],[Date]]="","",Applications[[#This Row],[Date]])</f>
        <v/>
      </c>
      <c r="V288" s="18" t="str">
        <f>IF(Applications[[#This Row],[Volume of solution applied
(m3)]]="","",Applications[[#This Row],[Volume of solution applied
(m3)]])</f>
        <v/>
      </c>
      <c r="W288" s="18" t="str">
        <v/>
      </c>
      <c r="X288" s="18" t="str">
        <v/>
      </c>
      <c r="Y288" s="18">
        <v>0</v>
      </c>
      <c r="Z288" s="18">
        <v>0</v>
      </c>
    </row>
    <row r="289" spans="2:26" ht="35.1" customHeight="1" thickBot="1">
      <c r="B289" s="54">
        <v>284</v>
      </c>
      <c r="C289" s="32"/>
      <c r="D289" s="33"/>
      <c r="E289" s="104" t="str">
        <f>IF(Applications[[#This Row],[Block ID]]="","",(_xlfn.XLOOKUP(Applications[[#This Row],[Block ID]],Blocks[Block ID],Blocks[Area (ha)],"")))</f>
        <v/>
      </c>
      <c r="F289" s="33"/>
      <c r="G289" s="105" t="str">
        <f t="shared" si="21"/>
        <v/>
      </c>
      <c r="H289" s="33"/>
      <c r="I289" s="33"/>
      <c r="J289" s="33"/>
      <c r="K289" s="200"/>
      <c r="L289" s="33"/>
      <c r="M289" s="33"/>
      <c r="N289" s="23" t="str">
        <f t="shared" si="22"/>
        <v/>
      </c>
      <c r="O289" s="23">
        <f>Applications[[#This Row],[Nitrogen concentration in drain solution
 (ppm or mg/L)]]*Applications[[#This Row],[Volume of solution applied
(m3)]]/1000</f>
        <v>0</v>
      </c>
      <c r="P289" s="33"/>
      <c r="Q289" s="23" t="str">
        <f t="shared" si="23"/>
        <v/>
      </c>
      <c r="R289" s="98">
        <f>Applications[[#This Row],[Phosphorus concentration in drain solution
(ppm or mg/L)]]*Applications[[#This Row],[Volume of solution applied
(m3)]]/1000</f>
        <v>0</v>
      </c>
      <c r="S289" s="65"/>
      <c r="U289" s="99" t="str">
        <f>IF(Applications[[#This Row],[Date]]="","",Applications[[#This Row],[Date]])</f>
        <v/>
      </c>
      <c r="V289" s="18" t="str">
        <f>IF(Applications[[#This Row],[Volume of solution applied
(m3)]]="","",Applications[[#This Row],[Volume of solution applied
(m3)]])</f>
        <v/>
      </c>
      <c r="W289" s="18" t="str">
        <v/>
      </c>
      <c r="X289" s="18" t="str">
        <v/>
      </c>
      <c r="Y289" s="18">
        <v>0</v>
      </c>
      <c r="Z289" s="18">
        <v>0</v>
      </c>
    </row>
    <row r="290" spans="2:26" ht="35.1" customHeight="1" thickBot="1">
      <c r="B290" s="54">
        <v>285</v>
      </c>
      <c r="C290" s="32"/>
      <c r="D290" s="33"/>
      <c r="E290" s="104" t="str">
        <f>IF(Applications[[#This Row],[Block ID]]="","",(_xlfn.XLOOKUP(Applications[[#This Row],[Block ID]],Blocks[Block ID],Blocks[Area (ha)],"")))</f>
        <v/>
      </c>
      <c r="F290" s="33"/>
      <c r="G290" s="105" t="str">
        <f t="shared" si="21"/>
        <v/>
      </c>
      <c r="H290" s="33"/>
      <c r="I290" s="33"/>
      <c r="J290" s="33"/>
      <c r="K290" s="200"/>
      <c r="L290" s="33"/>
      <c r="M290" s="33"/>
      <c r="N290" s="23" t="str">
        <f t="shared" si="22"/>
        <v/>
      </c>
      <c r="O290" s="23">
        <f>Applications[[#This Row],[Nitrogen concentration in drain solution
 (ppm or mg/L)]]*Applications[[#This Row],[Volume of solution applied
(m3)]]/1000</f>
        <v>0</v>
      </c>
      <c r="P290" s="33"/>
      <c r="Q290" s="23" t="str">
        <f t="shared" si="23"/>
        <v/>
      </c>
      <c r="R290" s="98">
        <f>Applications[[#This Row],[Phosphorus concentration in drain solution
(ppm or mg/L)]]*Applications[[#This Row],[Volume of solution applied
(m3)]]/1000</f>
        <v>0</v>
      </c>
      <c r="S290" s="65"/>
      <c r="U290" s="99" t="str">
        <f>IF(Applications[[#This Row],[Date]]="","",Applications[[#This Row],[Date]])</f>
        <v/>
      </c>
      <c r="V290" s="18" t="str">
        <f>IF(Applications[[#This Row],[Volume of solution applied
(m3)]]="","",Applications[[#This Row],[Volume of solution applied
(m3)]])</f>
        <v/>
      </c>
      <c r="W290" s="18" t="str">
        <v/>
      </c>
      <c r="X290" s="18" t="str">
        <v/>
      </c>
      <c r="Y290" s="18">
        <v>0</v>
      </c>
      <c r="Z290" s="18">
        <v>0</v>
      </c>
    </row>
    <row r="291" spans="2:26" ht="35.1" customHeight="1" thickBot="1">
      <c r="B291" s="54">
        <v>286</v>
      </c>
      <c r="C291" s="32"/>
      <c r="D291" s="33"/>
      <c r="E291" s="104" t="str">
        <f>IF(Applications[[#This Row],[Block ID]]="","",(_xlfn.XLOOKUP(Applications[[#This Row],[Block ID]],Blocks[Block ID],Blocks[Area (ha)],"")))</f>
        <v/>
      </c>
      <c r="F291" s="33"/>
      <c r="G291" s="105" t="str">
        <f t="shared" si="21"/>
        <v/>
      </c>
      <c r="H291" s="33"/>
      <c r="I291" s="33"/>
      <c r="J291" s="33"/>
      <c r="K291" s="200"/>
      <c r="L291" s="33"/>
      <c r="M291" s="33"/>
      <c r="N291" s="23" t="str">
        <f t="shared" si="22"/>
        <v/>
      </c>
      <c r="O291" s="23">
        <f>Applications[[#This Row],[Nitrogen concentration in drain solution
 (ppm or mg/L)]]*Applications[[#This Row],[Volume of solution applied
(m3)]]/1000</f>
        <v>0</v>
      </c>
      <c r="P291" s="33"/>
      <c r="Q291" s="23" t="str">
        <f t="shared" si="23"/>
        <v/>
      </c>
      <c r="R291" s="98">
        <f>Applications[[#This Row],[Phosphorus concentration in drain solution
(ppm or mg/L)]]*Applications[[#This Row],[Volume of solution applied
(m3)]]/1000</f>
        <v>0</v>
      </c>
      <c r="S291" s="65"/>
      <c r="U291" s="99" t="str">
        <f>IF(Applications[[#This Row],[Date]]="","",Applications[[#This Row],[Date]])</f>
        <v/>
      </c>
      <c r="V291" s="18" t="str">
        <f>IF(Applications[[#This Row],[Volume of solution applied
(m3)]]="","",Applications[[#This Row],[Volume of solution applied
(m3)]])</f>
        <v/>
      </c>
      <c r="W291" s="18" t="str">
        <v/>
      </c>
      <c r="X291" s="18" t="str">
        <v/>
      </c>
      <c r="Y291" s="18">
        <v>0</v>
      </c>
      <c r="Z291" s="18">
        <v>0</v>
      </c>
    </row>
    <row r="292" spans="2:26" ht="35.1" customHeight="1" thickBot="1">
      <c r="B292" s="54">
        <v>287</v>
      </c>
      <c r="C292" s="32"/>
      <c r="D292" s="33"/>
      <c r="E292" s="104" t="str">
        <f>IF(Applications[[#This Row],[Block ID]]="","",(_xlfn.XLOOKUP(Applications[[#This Row],[Block ID]],Blocks[Block ID],Blocks[Area (ha)],"")))</f>
        <v/>
      </c>
      <c r="F292" s="33"/>
      <c r="G292" s="105" t="str">
        <f t="shared" ref="G292:G299" si="24">IFERROR((IF(F292="","",((F292*1000)/(E292*10000)))),"")</f>
        <v/>
      </c>
      <c r="H292" s="33"/>
      <c r="I292" s="33"/>
      <c r="J292" s="33"/>
      <c r="K292" s="200"/>
      <c r="L292" s="33"/>
      <c r="M292" s="33"/>
      <c r="N292" s="23" t="str">
        <f t="shared" ref="N292:N299" si="25">IFERROR((L292*M292/1000/E292),"")</f>
        <v/>
      </c>
      <c r="O292" s="23">
        <f>Applications[[#This Row],[Nitrogen concentration in drain solution
 (ppm or mg/L)]]*Applications[[#This Row],[Volume of solution applied
(m3)]]/1000</f>
        <v>0</v>
      </c>
      <c r="P292" s="33"/>
      <c r="Q292" s="23" t="str">
        <f t="shared" ref="Q292:Q299" si="26">IFERROR((L292*P292/1000/E292),"")</f>
        <v/>
      </c>
      <c r="R292" s="98">
        <f>Applications[[#This Row],[Phosphorus concentration in drain solution
(ppm or mg/L)]]*Applications[[#This Row],[Volume of solution applied
(m3)]]/1000</f>
        <v>0</v>
      </c>
      <c r="S292" s="65"/>
      <c r="U292" s="99" t="str">
        <f>IF(Applications[[#This Row],[Date]]="","",Applications[[#This Row],[Date]])</f>
        <v/>
      </c>
      <c r="V292" s="18" t="str">
        <f>IF(Applications[[#This Row],[Volume of solution applied
(m3)]]="","",Applications[[#This Row],[Volume of solution applied
(m3)]])</f>
        <v/>
      </c>
      <c r="W292" s="18" t="str">
        <v/>
      </c>
      <c r="X292" s="18" t="str">
        <v/>
      </c>
      <c r="Y292" s="18">
        <v>0</v>
      </c>
      <c r="Z292" s="18">
        <v>0</v>
      </c>
    </row>
    <row r="293" spans="2:26" ht="35.1" customHeight="1" thickBot="1">
      <c r="B293" s="54">
        <v>288</v>
      </c>
      <c r="C293" s="32"/>
      <c r="D293" s="33"/>
      <c r="E293" s="104" t="str">
        <f>IF(Applications[[#This Row],[Block ID]]="","",(_xlfn.XLOOKUP(Applications[[#This Row],[Block ID]],Blocks[Block ID],Blocks[Area (ha)],"")))</f>
        <v/>
      </c>
      <c r="F293" s="33"/>
      <c r="G293" s="105" t="str">
        <f t="shared" si="24"/>
        <v/>
      </c>
      <c r="H293" s="33"/>
      <c r="I293" s="33"/>
      <c r="J293" s="33"/>
      <c r="K293" s="200"/>
      <c r="L293" s="33"/>
      <c r="M293" s="33"/>
      <c r="N293" s="23" t="str">
        <f t="shared" si="25"/>
        <v/>
      </c>
      <c r="O293" s="23">
        <f>Applications[[#This Row],[Nitrogen concentration in drain solution
 (ppm or mg/L)]]*Applications[[#This Row],[Volume of solution applied
(m3)]]/1000</f>
        <v>0</v>
      </c>
      <c r="P293" s="33"/>
      <c r="Q293" s="23" t="str">
        <f t="shared" si="26"/>
        <v/>
      </c>
      <c r="R293" s="98">
        <f>Applications[[#This Row],[Phosphorus concentration in drain solution
(ppm or mg/L)]]*Applications[[#This Row],[Volume of solution applied
(m3)]]/1000</f>
        <v>0</v>
      </c>
      <c r="S293" s="65"/>
      <c r="U293" s="99" t="str">
        <f>IF(Applications[[#This Row],[Date]]="","",Applications[[#This Row],[Date]])</f>
        <v/>
      </c>
      <c r="V293" s="18" t="str">
        <f>IF(Applications[[#This Row],[Volume of solution applied
(m3)]]="","",Applications[[#This Row],[Volume of solution applied
(m3)]])</f>
        <v/>
      </c>
      <c r="W293" s="18" t="str">
        <v/>
      </c>
      <c r="X293" s="18" t="str">
        <v/>
      </c>
      <c r="Y293" s="18">
        <v>0</v>
      </c>
      <c r="Z293" s="18">
        <v>0</v>
      </c>
    </row>
    <row r="294" spans="2:26" ht="35.1" customHeight="1" thickBot="1">
      <c r="B294" s="54">
        <v>289</v>
      </c>
      <c r="C294" s="32"/>
      <c r="D294" s="33"/>
      <c r="E294" s="104" t="str">
        <f>IF(Applications[[#This Row],[Block ID]]="","",(_xlfn.XLOOKUP(Applications[[#This Row],[Block ID]],Blocks[Block ID],Blocks[Area (ha)],"")))</f>
        <v/>
      </c>
      <c r="F294" s="33"/>
      <c r="G294" s="105" t="str">
        <f t="shared" si="24"/>
        <v/>
      </c>
      <c r="H294" s="33"/>
      <c r="I294" s="33"/>
      <c r="J294" s="33"/>
      <c r="K294" s="200"/>
      <c r="L294" s="33"/>
      <c r="M294" s="33"/>
      <c r="N294" s="23" t="str">
        <f t="shared" si="25"/>
        <v/>
      </c>
      <c r="O294" s="23">
        <f>Applications[[#This Row],[Nitrogen concentration in drain solution
 (ppm or mg/L)]]*Applications[[#This Row],[Volume of solution applied
(m3)]]/1000</f>
        <v>0</v>
      </c>
      <c r="P294" s="33"/>
      <c r="Q294" s="23" t="str">
        <f t="shared" si="26"/>
        <v/>
      </c>
      <c r="R294" s="98">
        <f>Applications[[#This Row],[Phosphorus concentration in drain solution
(ppm or mg/L)]]*Applications[[#This Row],[Volume of solution applied
(m3)]]/1000</f>
        <v>0</v>
      </c>
      <c r="S294" s="65"/>
      <c r="U294" s="99" t="str">
        <f>IF(Applications[[#This Row],[Date]]="","",Applications[[#This Row],[Date]])</f>
        <v/>
      </c>
      <c r="V294" s="18" t="str">
        <f>IF(Applications[[#This Row],[Volume of solution applied
(m3)]]="","",Applications[[#This Row],[Volume of solution applied
(m3)]])</f>
        <v/>
      </c>
      <c r="W294" s="18" t="str">
        <v/>
      </c>
      <c r="X294" s="18" t="str">
        <v/>
      </c>
      <c r="Y294" s="18">
        <v>0</v>
      </c>
      <c r="Z294" s="18">
        <v>0</v>
      </c>
    </row>
    <row r="295" spans="2:26" ht="35.1" customHeight="1" thickBot="1">
      <c r="B295" s="54">
        <v>290</v>
      </c>
      <c r="C295" s="32"/>
      <c r="D295" s="33"/>
      <c r="E295" s="104" t="str">
        <f>IF(Applications[[#This Row],[Block ID]]="","",(_xlfn.XLOOKUP(Applications[[#This Row],[Block ID]],Blocks[Block ID],Blocks[Area (ha)],"")))</f>
        <v/>
      </c>
      <c r="F295" s="33"/>
      <c r="G295" s="105" t="str">
        <f t="shared" si="24"/>
        <v/>
      </c>
      <c r="H295" s="33"/>
      <c r="I295" s="33"/>
      <c r="J295" s="33"/>
      <c r="K295" s="200"/>
      <c r="L295" s="33"/>
      <c r="M295" s="33"/>
      <c r="N295" s="23" t="str">
        <f t="shared" si="25"/>
        <v/>
      </c>
      <c r="O295" s="23">
        <f>Applications[[#This Row],[Nitrogen concentration in drain solution
 (ppm or mg/L)]]*Applications[[#This Row],[Volume of solution applied
(m3)]]/1000</f>
        <v>0</v>
      </c>
      <c r="P295" s="33"/>
      <c r="Q295" s="23" t="str">
        <f t="shared" si="26"/>
        <v/>
      </c>
      <c r="R295" s="98">
        <f>Applications[[#This Row],[Phosphorus concentration in drain solution
(ppm or mg/L)]]*Applications[[#This Row],[Volume of solution applied
(m3)]]/1000</f>
        <v>0</v>
      </c>
      <c r="S295" s="65"/>
      <c r="U295" s="99" t="str">
        <f>IF(Applications[[#This Row],[Date]]="","",Applications[[#This Row],[Date]])</f>
        <v/>
      </c>
      <c r="V295" s="18" t="str">
        <f>IF(Applications[[#This Row],[Volume of solution applied
(m3)]]="","",Applications[[#This Row],[Volume of solution applied
(m3)]])</f>
        <v/>
      </c>
      <c r="W295" s="18" t="str">
        <v/>
      </c>
      <c r="X295" s="18" t="str">
        <v/>
      </c>
      <c r="Y295" s="18">
        <v>0</v>
      </c>
      <c r="Z295" s="18">
        <v>0</v>
      </c>
    </row>
    <row r="296" spans="2:26" ht="35.1" customHeight="1" thickBot="1">
      <c r="B296" s="54">
        <v>291</v>
      </c>
      <c r="C296" s="32"/>
      <c r="D296" s="33"/>
      <c r="E296" s="104" t="str">
        <f>IF(Applications[[#This Row],[Block ID]]="","",(_xlfn.XLOOKUP(Applications[[#This Row],[Block ID]],Blocks[Block ID],Blocks[Area (ha)],"")))</f>
        <v/>
      </c>
      <c r="F296" s="33"/>
      <c r="G296" s="105" t="str">
        <f t="shared" si="24"/>
        <v/>
      </c>
      <c r="H296" s="33"/>
      <c r="I296" s="33"/>
      <c r="J296" s="33"/>
      <c r="K296" s="200"/>
      <c r="L296" s="33"/>
      <c r="M296" s="33"/>
      <c r="N296" s="23" t="str">
        <f t="shared" si="25"/>
        <v/>
      </c>
      <c r="O296" s="23">
        <f>Applications[[#This Row],[Nitrogen concentration in drain solution
 (ppm or mg/L)]]*Applications[[#This Row],[Volume of solution applied
(m3)]]/1000</f>
        <v>0</v>
      </c>
      <c r="P296" s="33"/>
      <c r="Q296" s="23" t="str">
        <f t="shared" si="26"/>
        <v/>
      </c>
      <c r="R296" s="98">
        <f>Applications[[#This Row],[Phosphorus concentration in drain solution
(ppm or mg/L)]]*Applications[[#This Row],[Volume of solution applied
(m3)]]/1000</f>
        <v>0</v>
      </c>
      <c r="S296" s="65"/>
      <c r="U296" s="99" t="str">
        <f>IF(Applications[[#This Row],[Date]]="","",Applications[[#This Row],[Date]])</f>
        <v/>
      </c>
      <c r="V296" s="18" t="str">
        <f>IF(Applications[[#This Row],[Volume of solution applied
(m3)]]="","",Applications[[#This Row],[Volume of solution applied
(m3)]])</f>
        <v/>
      </c>
      <c r="W296" s="18" t="str">
        <v/>
      </c>
      <c r="X296" s="18" t="str">
        <v/>
      </c>
      <c r="Y296" s="18">
        <v>0</v>
      </c>
      <c r="Z296" s="18">
        <v>0</v>
      </c>
    </row>
    <row r="297" spans="2:26" ht="35.1" customHeight="1" thickBot="1">
      <c r="B297" s="54">
        <v>292</v>
      </c>
      <c r="C297" s="32"/>
      <c r="D297" s="33"/>
      <c r="E297" s="104" t="str">
        <f>IF(Applications[[#This Row],[Block ID]]="","",(_xlfn.XLOOKUP(Applications[[#This Row],[Block ID]],Blocks[Block ID],Blocks[Area (ha)],"")))</f>
        <v/>
      </c>
      <c r="F297" s="33"/>
      <c r="G297" s="105" t="str">
        <f t="shared" si="24"/>
        <v/>
      </c>
      <c r="H297" s="33"/>
      <c r="I297" s="33"/>
      <c r="J297" s="33"/>
      <c r="K297" s="200"/>
      <c r="L297" s="33"/>
      <c r="M297" s="33"/>
      <c r="N297" s="23" t="str">
        <f t="shared" si="25"/>
        <v/>
      </c>
      <c r="O297" s="23">
        <f>Applications[[#This Row],[Nitrogen concentration in drain solution
 (ppm or mg/L)]]*Applications[[#This Row],[Volume of solution applied
(m3)]]/1000</f>
        <v>0</v>
      </c>
      <c r="P297" s="33"/>
      <c r="Q297" s="23" t="str">
        <f t="shared" si="26"/>
        <v/>
      </c>
      <c r="R297" s="98">
        <f>Applications[[#This Row],[Phosphorus concentration in drain solution
(ppm or mg/L)]]*Applications[[#This Row],[Volume of solution applied
(m3)]]/1000</f>
        <v>0</v>
      </c>
      <c r="S297" s="65"/>
      <c r="U297" s="99" t="str">
        <f>IF(Applications[[#This Row],[Date]]="","",Applications[[#This Row],[Date]])</f>
        <v/>
      </c>
      <c r="V297" s="18" t="str">
        <f>IF(Applications[[#This Row],[Volume of solution applied
(m3)]]="","",Applications[[#This Row],[Volume of solution applied
(m3)]])</f>
        <v/>
      </c>
      <c r="W297" s="18" t="str">
        <v/>
      </c>
      <c r="X297" s="18" t="str">
        <v/>
      </c>
      <c r="Y297" s="18">
        <v>0</v>
      </c>
      <c r="Z297" s="18">
        <v>0</v>
      </c>
    </row>
    <row r="298" spans="2:26" ht="35.1" customHeight="1" thickBot="1">
      <c r="B298" s="54">
        <v>293</v>
      </c>
      <c r="C298" s="32"/>
      <c r="D298" s="33"/>
      <c r="E298" s="104" t="str">
        <f>IF(Applications[[#This Row],[Block ID]]="","",(_xlfn.XLOOKUP(Applications[[#This Row],[Block ID]],Blocks[Block ID],Blocks[Area (ha)],"")))</f>
        <v/>
      </c>
      <c r="F298" s="33"/>
      <c r="G298" s="105" t="str">
        <f t="shared" si="24"/>
        <v/>
      </c>
      <c r="H298" s="33"/>
      <c r="I298" s="33"/>
      <c r="J298" s="33"/>
      <c r="K298" s="200"/>
      <c r="L298" s="33"/>
      <c r="M298" s="33"/>
      <c r="N298" s="23" t="str">
        <f t="shared" si="25"/>
        <v/>
      </c>
      <c r="O298" s="23">
        <f>Applications[[#This Row],[Nitrogen concentration in drain solution
 (ppm or mg/L)]]*Applications[[#This Row],[Volume of solution applied
(m3)]]/1000</f>
        <v>0</v>
      </c>
      <c r="P298" s="33"/>
      <c r="Q298" s="23" t="str">
        <f t="shared" si="26"/>
        <v/>
      </c>
      <c r="R298" s="98">
        <f>Applications[[#This Row],[Phosphorus concentration in drain solution
(ppm or mg/L)]]*Applications[[#This Row],[Volume of solution applied
(m3)]]/1000</f>
        <v>0</v>
      </c>
      <c r="S298" s="65"/>
      <c r="U298" s="99" t="str">
        <f>IF(Applications[[#This Row],[Date]]="","",Applications[[#This Row],[Date]])</f>
        <v/>
      </c>
      <c r="V298" s="18" t="str">
        <f>IF(Applications[[#This Row],[Volume of solution applied
(m3)]]="","",Applications[[#This Row],[Volume of solution applied
(m3)]])</f>
        <v/>
      </c>
      <c r="W298" s="18" t="str">
        <v/>
      </c>
      <c r="X298" s="18" t="str">
        <v/>
      </c>
      <c r="Y298" s="18">
        <v>0</v>
      </c>
      <c r="Z298" s="18">
        <v>0</v>
      </c>
    </row>
    <row r="299" spans="2:26" ht="35.1" customHeight="1" thickBot="1">
      <c r="B299" s="54">
        <v>294</v>
      </c>
      <c r="C299" s="32"/>
      <c r="D299" s="33"/>
      <c r="E299" s="104" t="str">
        <f>IF(Applications[[#This Row],[Block ID]]="","",(_xlfn.XLOOKUP(Applications[[#This Row],[Block ID]],Blocks[Block ID],Blocks[Area (ha)],"")))</f>
        <v/>
      </c>
      <c r="F299" s="33"/>
      <c r="G299" s="105" t="str">
        <f t="shared" si="24"/>
        <v/>
      </c>
      <c r="H299" s="33"/>
      <c r="I299" s="33"/>
      <c r="J299" s="33"/>
      <c r="K299" s="200"/>
      <c r="L299" s="33"/>
      <c r="M299" s="33"/>
      <c r="N299" s="23" t="str">
        <f t="shared" si="25"/>
        <v/>
      </c>
      <c r="O299" s="23">
        <f>Applications[[#This Row],[Nitrogen concentration in drain solution
 (ppm or mg/L)]]*Applications[[#This Row],[Volume of solution applied
(m3)]]/1000</f>
        <v>0</v>
      </c>
      <c r="P299" s="33"/>
      <c r="Q299" s="23" t="str">
        <f t="shared" si="26"/>
        <v/>
      </c>
      <c r="R299" s="98">
        <f>Applications[[#This Row],[Phosphorus concentration in drain solution
(ppm or mg/L)]]*Applications[[#This Row],[Volume of solution applied
(m3)]]/1000</f>
        <v>0</v>
      </c>
      <c r="S299" s="65"/>
      <c r="U299" s="99" t="str">
        <f>IF(Applications[[#This Row],[Date]]="","",Applications[[#This Row],[Date]])</f>
        <v/>
      </c>
      <c r="V299" s="18" t="str">
        <f>IF(Applications[[#This Row],[Volume of solution applied
(m3)]]="","",Applications[[#This Row],[Volume of solution applied
(m3)]])</f>
        <v/>
      </c>
      <c r="W299" s="18" t="str">
        <v/>
      </c>
      <c r="X299" s="18" t="str">
        <v/>
      </c>
      <c r="Y299" s="18">
        <v>0</v>
      </c>
      <c r="Z299" s="18">
        <v>0</v>
      </c>
    </row>
    <row r="300" spans="2:26" ht="35.1" customHeight="1" thickBot="1">
      <c r="B300" s="54">
        <v>295</v>
      </c>
      <c r="C300" s="32"/>
      <c r="D300" s="33"/>
      <c r="E300" s="104" t="str">
        <f>IF(Applications[[#This Row],[Block ID]]="","",(_xlfn.XLOOKUP(Applications[[#This Row],[Block ID]],Blocks[Block ID],Blocks[Area (ha)],"")))</f>
        <v/>
      </c>
      <c r="F300" s="33"/>
      <c r="G300" s="105" t="str">
        <f t="shared" ref="G300:G305" si="27">IFERROR((IF(F300="","",((F300*1000)/(E300*10000)))),"")</f>
        <v/>
      </c>
      <c r="H300" s="33"/>
      <c r="I300" s="33"/>
      <c r="J300" s="33"/>
      <c r="K300" s="200"/>
      <c r="L300" s="33"/>
      <c r="M300" s="33"/>
      <c r="N300" s="23" t="str">
        <f t="shared" ref="N300:N305" si="28">IFERROR((L300*M300/1000/E300),"")</f>
        <v/>
      </c>
      <c r="O300" s="23">
        <f>Applications[[#This Row],[Nitrogen concentration in drain solution
 (ppm or mg/L)]]*Applications[[#This Row],[Volume of solution applied
(m3)]]/1000</f>
        <v>0</v>
      </c>
      <c r="P300" s="33"/>
      <c r="Q300" s="23" t="str">
        <f t="shared" ref="Q300:Q305" si="29">IFERROR((L300*P300/1000/E300),"")</f>
        <v/>
      </c>
      <c r="R300" s="98">
        <f>Applications[[#This Row],[Phosphorus concentration in drain solution
(ppm or mg/L)]]*Applications[[#This Row],[Volume of solution applied
(m3)]]/1000</f>
        <v>0</v>
      </c>
      <c r="S300" s="65"/>
      <c r="U300" s="99" t="str">
        <f>IF(Applications[[#This Row],[Date]]="","",Applications[[#This Row],[Date]])</f>
        <v/>
      </c>
      <c r="V300" s="18" t="str">
        <f>IF(Applications[[#This Row],[Volume of solution applied
(m3)]]="","",Applications[[#This Row],[Volume of solution applied
(m3)]])</f>
        <v/>
      </c>
      <c r="W300" s="18" t="str">
        <v/>
      </c>
      <c r="X300" s="18" t="str">
        <v/>
      </c>
      <c r="Y300" s="18">
        <v>0</v>
      </c>
      <c r="Z300" s="18">
        <v>0</v>
      </c>
    </row>
    <row r="301" spans="2:26" ht="35.1" customHeight="1" thickBot="1">
      <c r="B301" s="54">
        <v>296</v>
      </c>
      <c r="C301" s="32"/>
      <c r="D301" s="33"/>
      <c r="E301" s="104" t="str">
        <f>IF(Applications[[#This Row],[Block ID]]="","",(_xlfn.XLOOKUP(Applications[[#This Row],[Block ID]],Blocks[Block ID],Blocks[Area (ha)],"")))</f>
        <v/>
      </c>
      <c r="F301" s="33"/>
      <c r="G301" s="105" t="str">
        <f t="shared" si="27"/>
        <v/>
      </c>
      <c r="H301" s="33"/>
      <c r="I301" s="33"/>
      <c r="J301" s="33"/>
      <c r="K301" s="200"/>
      <c r="L301" s="33"/>
      <c r="M301" s="33"/>
      <c r="N301" s="23" t="str">
        <f t="shared" si="28"/>
        <v/>
      </c>
      <c r="O301" s="23">
        <f>Applications[[#This Row],[Nitrogen concentration in drain solution
 (ppm or mg/L)]]*Applications[[#This Row],[Volume of solution applied
(m3)]]/1000</f>
        <v>0</v>
      </c>
      <c r="P301" s="33"/>
      <c r="Q301" s="23" t="str">
        <f t="shared" si="29"/>
        <v/>
      </c>
      <c r="R301" s="98">
        <f>Applications[[#This Row],[Phosphorus concentration in drain solution
(ppm or mg/L)]]*Applications[[#This Row],[Volume of solution applied
(m3)]]/1000</f>
        <v>0</v>
      </c>
      <c r="S301" s="65"/>
      <c r="U301" s="99" t="str">
        <f>IF(Applications[[#This Row],[Date]]="","",Applications[[#This Row],[Date]])</f>
        <v/>
      </c>
      <c r="V301" s="18" t="str">
        <f>IF(Applications[[#This Row],[Volume of solution applied
(m3)]]="","",Applications[[#This Row],[Volume of solution applied
(m3)]])</f>
        <v/>
      </c>
      <c r="W301" s="18" t="str">
        <v/>
      </c>
      <c r="X301" s="18" t="str">
        <v/>
      </c>
      <c r="Y301" s="18">
        <v>0</v>
      </c>
      <c r="Z301" s="18">
        <v>0</v>
      </c>
    </row>
    <row r="302" spans="2:26" ht="35.1" customHeight="1" thickBot="1">
      <c r="B302" s="54">
        <v>297</v>
      </c>
      <c r="C302" s="32"/>
      <c r="D302" s="33"/>
      <c r="E302" s="104" t="str">
        <f>IF(Applications[[#This Row],[Block ID]]="","",(_xlfn.XLOOKUP(Applications[[#This Row],[Block ID]],Blocks[Block ID],Blocks[Area (ha)],"")))</f>
        <v/>
      </c>
      <c r="F302" s="33"/>
      <c r="G302" s="105" t="str">
        <f t="shared" si="27"/>
        <v/>
      </c>
      <c r="H302" s="33"/>
      <c r="I302" s="33"/>
      <c r="J302" s="33"/>
      <c r="K302" s="200"/>
      <c r="L302" s="33"/>
      <c r="M302" s="33"/>
      <c r="N302" s="23" t="str">
        <f t="shared" si="28"/>
        <v/>
      </c>
      <c r="O302" s="23">
        <f>Applications[[#This Row],[Nitrogen concentration in drain solution
 (ppm or mg/L)]]*Applications[[#This Row],[Volume of solution applied
(m3)]]/1000</f>
        <v>0</v>
      </c>
      <c r="P302" s="33"/>
      <c r="Q302" s="23" t="str">
        <f t="shared" si="29"/>
        <v/>
      </c>
      <c r="R302" s="98">
        <f>Applications[[#This Row],[Phosphorus concentration in drain solution
(ppm or mg/L)]]*Applications[[#This Row],[Volume of solution applied
(m3)]]/1000</f>
        <v>0</v>
      </c>
      <c r="S302" s="65"/>
      <c r="U302" s="99" t="str">
        <f>IF(Applications[[#This Row],[Date]]="","",Applications[[#This Row],[Date]])</f>
        <v/>
      </c>
      <c r="V302" s="18" t="str">
        <f>IF(Applications[[#This Row],[Volume of solution applied
(m3)]]="","",Applications[[#This Row],[Volume of solution applied
(m3)]])</f>
        <v/>
      </c>
      <c r="W302" s="18" t="str">
        <v/>
      </c>
      <c r="X302" s="18" t="str">
        <v/>
      </c>
      <c r="Y302" s="18">
        <v>0</v>
      </c>
      <c r="Z302" s="18">
        <v>0</v>
      </c>
    </row>
    <row r="303" spans="2:26" ht="35.1" customHeight="1" thickBot="1">
      <c r="B303" s="54">
        <v>298</v>
      </c>
      <c r="C303" s="32"/>
      <c r="D303" s="33"/>
      <c r="E303" s="104" t="str">
        <f>IF(Applications[[#This Row],[Block ID]]="","",(_xlfn.XLOOKUP(Applications[[#This Row],[Block ID]],Blocks[Block ID],Blocks[Area (ha)],"")))</f>
        <v/>
      </c>
      <c r="F303" s="33"/>
      <c r="G303" s="105" t="str">
        <f t="shared" si="27"/>
        <v/>
      </c>
      <c r="H303" s="33"/>
      <c r="I303" s="33"/>
      <c r="J303" s="33"/>
      <c r="K303" s="200"/>
      <c r="L303" s="33"/>
      <c r="M303" s="33"/>
      <c r="N303" s="23" t="str">
        <f t="shared" si="28"/>
        <v/>
      </c>
      <c r="O303" s="23">
        <f>Applications[[#This Row],[Nitrogen concentration in drain solution
 (ppm or mg/L)]]*Applications[[#This Row],[Volume of solution applied
(m3)]]/1000</f>
        <v>0</v>
      </c>
      <c r="P303" s="33"/>
      <c r="Q303" s="23" t="str">
        <f t="shared" si="29"/>
        <v/>
      </c>
      <c r="R303" s="98">
        <f>Applications[[#This Row],[Phosphorus concentration in drain solution
(ppm or mg/L)]]*Applications[[#This Row],[Volume of solution applied
(m3)]]/1000</f>
        <v>0</v>
      </c>
      <c r="S303" s="65"/>
      <c r="U303" s="99" t="str">
        <f>IF(Applications[[#This Row],[Date]]="","",Applications[[#This Row],[Date]])</f>
        <v/>
      </c>
      <c r="V303" s="18" t="str">
        <f>IF(Applications[[#This Row],[Volume of solution applied
(m3)]]="","",Applications[[#This Row],[Volume of solution applied
(m3)]])</f>
        <v/>
      </c>
      <c r="W303" s="18" t="str">
        <v/>
      </c>
      <c r="X303" s="18" t="str">
        <v/>
      </c>
      <c r="Y303" s="18">
        <v>0</v>
      </c>
      <c r="Z303" s="18">
        <v>0</v>
      </c>
    </row>
    <row r="304" spans="2:26" ht="35.1" customHeight="1" thickBot="1">
      <c r="B304" s="54">
        <v>299</v>
      </c>
      <c r="C304" s="32"/>
      <c r="D304" s="33"/>
      <c r="E304" s="104" t="str">
        <f>IF(Applications[[#This Row],[Block ID]]="","",(_xlfn.XLOOKUP(Applications[[#This Row],[Block ID]],Blocks[Block ID],Blocks[Area (ha)],"")))</f>
        <v/>
      </c>
      <c r="F304" s="33"/>
      <c r="G304" s="105" t="str">
        <f t="shared" si="27"/>
        <v/>
      </c>
      <c r="H304" s="33"/>
      <c r="I304" s="33"/>
      <c r="J304" s="33"/>
      <c r="K304" s="200"/>
      <c r="L304" s="33"/>
      <c r="M304" s="33"/>
      <c r="N304" s="23" t="str">
        <f t="shared" si="28"/>
        <v/>
      </c>
      <c r="O304" s="23">
        <f>Applications[[#This Row],[Nitrogen concentration in drain solution
 (ppm or mg/L)]]*Applications[[#This Row],[Volume of solution applied
(m3)]]/1000</f>
        <v>0</v>
      </c>
      <c r="P304" s="33"/>
      <c r="Q304" s="23" t="str">
        <f t="shared" si="29"/>
        <v/>
      </c>
      <c r="R304" s="98">
        <f>Applications[[#This Row],[Phosphorus concentration in drain solution
(ppm or mg/L)]]*Applications[[#This Row],[Volume of solution applied
(m3)]]/1000</f>
        <v>0</v>
      </c>
      <c r="S304" s="65"/>
      <c r="U304" s="99" t="str">
        <f>IF(Applications[[#This Row],[Date]]="","",Applications[[#This Row],[Date]])</f>
        <v/>
      </c>
      <c r="V304" s="18" t="str">
        <f>IF(Applications[[#This Row],[Volume of solution applied
(m3)]]="","",Applications[[#This Row],[Volume of solution applied
(m3)]])</f>
        <v/>
      </c>
      <c r="W304" s="18" t="str">
        <v/>
      </c>
      <c r="X304" s="18" t="str">
        <v/>
      </c>
      <c r="Y304" s="18">
        <v>0</v>
      </c>
      <c r="Z304" s="18">
        <v>0</v>
      </c>
    </row>
    <row r="305" spans="2:26" ht="35.1" customHeight="1" thickBot="1">
      <c r="B305" s="54">
        <v>300</v>
      </c>
      <c r="C305" s="32"/>
      <c r="D305" s="33"/>
      <c r="E305" s="104" t="str">
        <f>IF(Applications[[#This Row],[Block ID]]="","",(_xlfn.XLOOKUP(Applications[[#This Row],[Block ID]],Blocks[Block ID],Blocks[Area (ha)],"")))</f>
        <v/>
      </c>
      <c r="F305" s="33"/>
      <c r="G305" s="105" t="str">
        <f t="shared" si="27"/>
        <v/>
      </c>
      <c r="H305" s="33"/>
      <c r="I305" s="33"/>
      <c r="J305" s="33"/>
      <c r="K305" s="200"/>
      <c r="L305" s="33"/>
      <c r="M305" s="33"/>
      <c r="N305" s="23" t="str">
        <f t="shared" si="28"/>
        <v/>
      </c>
      <c r="O305" s="23">
        <f>Applications[[#This Row],[Nitrogen concentration in drain solution
 (ppm or mg/L)]]*Applications[[#This Row],[Volume of solution applied
(m3)]]/1000</f>
        <v>0</v>
      </c>
      <c r="P305" s="33"/>
      <c r="Q305" s="23" t="str">
        <f t="shared" si="29"/>
        <v/>
      </c>
      <c r="R305" s="98">
        <f>Applications[[#This Row],[Phosphorus concentration in drain solution
(ppm or mg/L)]]*Applications[[#This Row],[Volume of solution applied
(m3)]]/1000</f>
        <v>0</v>
      </c>
      <c r="S305" s="65"/>
      <c r="U305" s="99" t="str">
        <f>IF(Applications[[#This Row],[Date]]="","",Applications[[#This Row],[Date]])</f>
        <v/>
      </c>
      <c r="V305" s="18" t="str">
        <f>IF(Applications[[#This Row],[Volume of solution applied
(m3)]]="","",Applications[[#This Row],[Volume of solution applied
(m3)]])</f>
        <v/>
      </c>
      <c r="W305" s="18" t="str">
        <v/>
      </c>
      <c r="X305" s="18" t="str">
        <v/>
      </c>
      <c r="Y305" s="18">
        <v>0</v>
      </c>
      <c r="Z305" s="18">
        <v>0</v>
      </c>
    </row>
  </sheetData>
  <sheetProtection algorithmName="SHA-512" hashValue="h3tEIleEqqFyg0ekmTV0oJb7zTdiRnxr2TlLEwDNKNwJqLa4g2yzSDF6EZXBbS7aSTfij54LY7mq1ZTa91NuxQ==" saltValue="TDCnVoip0V3Wk6JVp0UeCQ==" spinCount="100000" sheet="1" objects="1" scenarios="1"/>
  <mergeCells count="3">
    <mergeCell ref="B1:S1"/>
    <mergeCell ref="B3:H4"/>
    <mergeCell ref="I4:S4"/>
  </mergeCells>
  <conditionalFormatting sqref="J6:J305 L6:R305">
    <cfRule type="expression" dxfId="34" priority="10">
      <formula>$I6="No"</formula>
    </cfRule>
  </conditionalFormatting>
  <dataValidations count="1">
    <dataValidation showInputMessage="1" showErrorMessage="1" sqref="F6:F305" xr:uid="{9B0FACEE-D4AB-496E-A698-DAD463D5A6F8}"/>
  </dataValidations>
  <pageMargins left="0.23622047244094491" right="0.23622047244094491" top="0.39370078740157483" bottom="0.39370078740157483" header="0.31496062992125984" footer="0.31496062992125984"/>
  <pageSetup paperSize="8" scale="52" fitToHeight="0" orientation="landscape"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36BCE3EB-748B-40F6-B9D1-B880B5F0ABD3}">
          <x14:formula1>
            <xm:f>SheetData!$B$12:$B$13</xm:f>
          </x14:formula1>
          <xm:sqref>I6:I305</xm:sqref>
        </x14:dataValidation>
        <x14:dataValidation type="list" allowBlank="1" showInputMessage="1" showErrorMessage="1" xr:uid="{B3C1E7EA-CE3C-472C-8E0D-7A2A879E0E19}">
          <x14:formula1>
            <xm:f>'3. Application site'!$G$7:$G$31</xm:f>
          </x14:formula1>
          <xm:sqref>D6:D305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AA9A9-B67C-4AD8-8BCC-89A64A66397D}">
  <sheetPr codeName="Sheet7">
    <tabColor theme="5"/>
    <pageSetUpPr fitToPage="1"/>
  </sheetPr>
  <dimension ref="A1:OT285"/>
  <sheetViews>
    <sheetView showGridLines="0" zoomScale="80" zoomScaleNormal="80" workbookViewId="0"/>
  </sheetViews>
  <sheetFormatPr defaultColWidth="9.21875" defaultRowHeight="14.45"/>
  <cols>
    <col min="1" max="1" width="3.44140625" style="43" customWidth="1"/>
    <col min="2" max="2" width="2.77734375" style="30" customWidth="1"/>
    <col min="3" max="3" width="13.33203125" style="30" customWidth="1"/>
    <col min="4" max="4" width="12.21875" style="18" customWidth="1"/>
    <col min="5" max="5" width="14.6640625" style="18" customWidth="1"/>
    <col min="6" max="6" width="17.5546875" style="18" customWidth="1"/>
    <col min="7" max="8" width="4.77734375" style="18" customWidth="1"/>
    <col min="9" max="9" width="16.33203125" style="18" customWidth="1"/>
    <col min="10" max="10" width="10.44140625" style="18" customWidth="1"/>
    <col min="11" max="11" width="13.77734375" style="18" customWidth="1"/>
    <col min="12" max="12" width="17.5546875" style="18" customWidth="1"/>
    <col min="13" max="13" width="2.77734375" style="18" customWidth="1"/>
    <col min="14" max="14" width="17.6640625" style="43" customWidth="1"/>
    <col min="15" max="16" width="15.5546875" style="43" hidden="1" customWidth="1"/>
    <col min="17" max="18" width="9.21875" style="43" hidden="1" customWidth="1"/>
    <col min="19" max="19" width="14.33203125" style="43" hidden="1" customWidth="1"/>
    <col min="20" max="410" width="9.21875" style="43"/>
    <col min="411" max="16384" width="9.21875" style="18"/>
  </cols>
  <sheetData>
    <row r="1" spans="2:15" s="47" customFormat="1" ht="46.15" customHeight="1">
      <c r="B1" s="246" t="s">
        <v>171</v>
      </c>
      <c r="C1" s="246"/>
      <c r="D1" s="246"/>
      <c r="E1" s="246"/>
      <c r="F1" s="246"/>
      <c r="G1" s="246"/>
      <c r="H1" s="246"/>
      <c r="I1" s="246"/>
      <c r="J1" s="246"/>
      <c r="K1" s="246"/>
      <c r="L1" s="246"/>
      <c r="M1" s="246"/>
    </row>
    <row r="2" spans="2:15" s="43" customFormat="1">
      <c r="B2" s="42"/>
      <c r="C2" s="42"/>
    </row>
    <row r="3" spans="2:15" s="43" customFormat="1" ht="274.5" customHeight="1">
      <c r="B3" s="248" t="s">
        <v>172</v>
      </c>
      <c r="C3" s="248"/>
      <c r="D3" s="248"/>
      <c r="E3" s="248"/>
      <c r="F3" s="248"/>
      <c r="G3" s="248"/>
      <c r="H3" s="248"/>
      <c r="I3" s="248"/>
      <c r="J3" s="248"/>
      <c r="K3" s="248"/>
      <c r="L3" s="248"/>
      <c r="M3" s="248"/>
    </row>
    <row r="4" spans="2:15" s="43" customFormat="1" ht="9" customHeight="1" thickBot="1">
      <c r="B4" s="45"/>
      <c r="C4" s="45"/>
      <c r="D4" s="45"/>
      <c r="E4" s="45"/>
      <c r="F4" s="45"/>
      <c r="G4" s="45"/>
      <c r="H4" s="45"/>
      <c r="I4" s="45"/>
      <c r="J4" s="45"/>
      <c r="K4" s="45"/>
      <c r="L4" s="45"/>
      <c r="M4" s="45"/>
    </row>
    <row r="5" spans="2:15" s="43" customFormat="1" ht="9" customHeight="1">
      <c r="B5" s="51"/>
      <c r="C5" s="51"/>
      <c r="D5" s="51"/>
      <c r="E5" s="51"/>
      <c r="F5" s="51"/>
      <c r="G5" s="51"/>
      <c r="H5" s="51"/>
      <c r="I5" s="51"/>
      <c r="J5" s="51"/>
      <c r="K5" s="51"/>
      <c r="L5" s="51"/>
      <c r="M5" s="51"/>
    </row>
    <row r="6" spans="2:15" s="43" customFormat="1" ht="16.149999999999999" customHeight="1">
      <c r="B6" s="139"/>
      <c r="C6" s="140"/>
      <c r="D6" s="140"/>
      <c r="E6" s="140"/>
      <c r="F6" s="140"/>
      <c r="G6" s="140"/>
      <c r="H6" s="140"/>
      <c r="I6" s="140"/>
      <c r="J6" s="140"/>
      <c r="K6" s="140"/>
      <c r="L6" s="140"/>
      <c r="M6" s="141"/>
    </row>
    <row r="7" spans="2:15" s="43" customFormat="1" ht="51.6" customHeight="1">
      <c r="B7" s="142"/>
      <c r="C7" s="306" t="s">
        <v>173</v>
      </c>
      <c r="D7" s="306"/>
      <c r="E7" s="306"/>
      <c r="F7" s="306"/>
      <c r="G7" s="306"/>
      <c r="H7" s="306"/>
      <c r="I7" s="306"/>
      <c r="J7" s="306"/>
      <c r="K7" s="306"/>
      <c r="L7" s="306"/>
      <c r="M7" s="143"/>
    </row>
    <row r="8" spans="2:15" s="43" customFormat="1" ht="16.5" customHeight="1">
      <c r="B8" s="142"/>
      <c r="C8" s="71"/>
      <c r="D8" s="71"/>
      <c r="E8" s="71"/>
      <c r="F8" s="71"/>
      <c r="G8" s="71"/>
      <c r="H8" s="71"/>
      <c r="I8" s="71"/>
      <c r="J8" s="71"/>
      <c r="K8" s="71"/>
      <c r="L8" s="71"/>
      <c r="M8" s="143"/>
    </row>
    <row r="9" spans="2:15" s="43" customFormat="1" ht="32.25" customHeight="1" thickBot="1">
      <c r="B9" s="142"/>
      <c r="C9" s="303" t="s">
        <v>174</v>
      </c>
      <c r="D9" s="303"/>
      <c r="E9" s="303"/>
      <c r="F9" s="303"/>
      <c r="G9" s="144"/>
      <c r="H9" s="145"/>
      <c r="I9" s="303" t="s">
        <v>175</v>
      </c>
      <c r="J9" s="303"/>
      <c r="K9" s="303"/>
      <c r="L9" s="303"/>
      <c r="M9" s="143"/>
    </row>
    <row r="10" spans="2:15" s="43" customFormat="1" ht="10.15" customHeight="1" thickBot="1">
      <c r="B10" s="142"/>
      <c r="C10" s="12"/>
      <c r="D10" s="12"/>
      <c r="E10" s="12"/>
      <c r="F10" s="12"/>
      <c r="G10" s="146"/>
      <c r="H10" s="145"/>
      <c r="I10" s="71"/>
      <c r="J10" s="71"/>
      <c r="K10" s="71"/>
      <c r="L10" s="71"/>
      <c r="M10" s="143"/>
    </row>
    <row r="11" spans="2:15" s="43" customFormat="1" ht="35.65" customHeight="1" thickBot="1">
      <c r="B11" s="142"/>
      <c r="C11" s="304" t="s">
        <v>176</v>
      </c>
      <c r="D11" s="304"/>
      <c r="E11" s="302" t="str">
        <f>IF(ISBLANK('1. Overview'!C5),"",'1. Overview'!C5)</f>
        <v/>
      </c>
      <c r="F11" s="302"/>
      <c r="G11" s="146"/>
      <c r="H11" s="145"/>
      <c r="I11" s="73"/>
      <c r="J11" s="52" t="s">
        <v>177</v>
      </c>
      <c r="K11" s="53" t="s">
        <v>178</v>
      </c>
      <c r="L11" s="54" t="s">
        <v>179</v>
      </c>
      <c r="M11" s="143"/>
    </row>
    <row r="12" spans="2:15" s="43" customFormat="1" ht="35.65" customHeight="1" thickBot="1">
      <c r="B12" s="142"/>
      <c r="C12" s="304" t="s">
        <v>180</v>
      </c>
      <c r="D12" s="304"/>
      <c r="E12" s="305">
        <f ca="1">TODAY()</f>
        <v>46205</v>
      </c>
      <c r="F12" s="305"/>
      <c r="G12" s="71"/>
      <c r="H12" s="71"/>
      <c r="I12" s="15" t="s">
        <v>181</v>
      </c>
      <c r="J12" s="69">
        <v>1</v>
      </c>
      <c r="K12" s="68" t="s">
        <v>182</v>
      </c>
      <c r="L12" s="70">
        <v>2026</v>
      </c>
      <c r="M12" s="143"/>
    </row>
    <row r="13" spans="2:15" s="43" customFormat="1" ht="35.65" customHeight="1" thickBot="1">
      <c r="B13" s="148"/>
      <c r="C13" s="304" t="s">
        <v>183</v>
      </c>
      <c r="D13" s="304"/>
      <c r="E13" s="302" t="str">
        <f>IF(ISBLANK('3. Application site'!C6),"",'3. Application site'!C6)</f>
        <v/>
      </c>
      <c r="F13" s="302"/>
      <c r="G13" s="149"/>
      <c r="H13" s="150"/>
      <c r="I13" s="15" t="s">
        <v>184</v>
      </c>
      <c r="J13" s="69">
        <v>30</v>
      </c>
      <c r="K13" s="68" t="s">
        <v>185</v>
      </c>
      <c r="L13" s="70">
        <v>2026</v>
      </c>
      <c r="M13" s="151"/>
      <c r="O13" s="43" t="s">
        <v>186</v>
      </c>
    </row>
    <row r="14" spans="2:15" s="43" customFormat="1" ht="8.65" customHeight="1" thickBot="1">
      <c r="B14" s="148"/>
      <c r="C14" s="147"/>
      <c r="D14" s="147"/>
      <c r="E14" s="152"/>
      <c r="F14" s="152"/>
      <c r="G14" s="149"/>
      <c r="H14" s="150"/>
      <c r="I14" s="94"/>
      <c r="J14" s="103"/>
      <c r="K14" s="103"/>
      <c r="L14" s="103"/>
      <c r="M14" s="151"/>
    </row>
    <row r="15" spans="2:15" s="43" customFormat="1" ht="41.25" customHeight="1" thickBot="1">
      <c r="B15" s="148"/>
      <c r="C15" s="308" t="s">
        <v>187</v>
      </c>
      <c r="D15" s="308"/>
      <c r="E15" s="307">
        <f>IF(ISBLANK('3. Application site'!C7),"",'3. Application site'!C7)</f>
        <v>0</v>
      </c>
      <c r="F15" s="307"/>
      <c r="G15" s="71"/>
      <c r="H15" s="150"/>
      <c r="I15" s="15" t="s">
        <v>188</v>
      </c>
      <c r="J15" s="309"/>
      <c r="K15" s="310"/>
      <c r="L15" s="311"/>
      <c r="M15" s="151"/>
    </row>
    <row r="16" spans="2:15" s="43" customFormat="1" ht="24.6" customHeight="1">
      <c r="B16" s="153"/>
      <c r="C16" s="12"/>
      <c r="D16" s="12"/>
      <c r="E16" s="12"/>
      <c r="F16" s="154"/>
      <c r="G16" s="155"/>
      <c r="H16" s="71"/>
      <c r="I16" s="12"/>
      <c r="J16" s="12"/>
      <c r="K16" s="12"/>
      <c r="L16" s="12"/>
      <c r="M16" s="143"/>
    </row>
    <row r="17" spans="2:19" s="46" customFormat="1" ht="32.25" customHeight="1" thickBot="1">
      <c r="B17" s="156"/>
      <c r="C17" s="303" t="s">
        <v>189</v>
      </c>
      <c r="D17" s="303"/>
      <c r="E17" s="303"/>
      <c r="F17" s="303"/>
      <c r="G17" s="303"/>
      <c r="H17" s="303"/>
      <c r="I17" s="303"/>
      <c r="J17" s="303"/>
      <c r="K17" s="303"/>
      <c r="L17" s="303"/>
      <c r="M17" s="157"/>
      <c r="P17" s="46" t="s">
        <v>190</v>
      </c>
      <c r="Q17" s="46" t="s">
        <v>191</v>
      </c>
      <c r="R17" s="46" t="s">
        <v>192</v>
      </c>
      <c r="S17" s="46" t="s">
        <v>193</v>
      </c>
    </row>
    <row r="18" spans="2:19" s="46" customFormat="1" ht="10.15" customHeight="1">
      <c r="B18" s="156"/>
      <c r="C18" s="71"/>
      <c r="D18" s="71"/>
      <c r="E18" s="71"/>
      <c r="F18" s="71"/>
      <c r="G18" s="158"/>
      <c r="H18" s="159"/>
      <c r="I18" s="160"/>
      <c r="J18" s="160"/>
      <c r="K18" s="160"/>
      <c r="L18" s="160"/>
      <c r="M18" s="161"/>
      <c r="N18" s="67"/>
      <c r="O18" s="46" t="s">
        <v>194</v>
      </c>
      <c r="P18" s="46">
        <f>J12</f>
        <v>1</v>
      </c>
      <c r="Q18" s="46">
        <f>_xlfn.XLOOKUP(K12,SheetData!$H$24:$H$35,SheetData!$G$24:$G$35)</f>
        <v>1</v>
      </c>
      <c r="R18" s="46">
        <f>L12</f>
        <v>2026</v>
      </c>
      <c r="S18" s="66">
        <f>DATE(R18,Q18,P18)</f>
        <v>46023</v>
      </c>
    </row>
    <row r="19" spans="2:19" s="46" customFormat="1" ht="24" customHeight="1">
      <c r="B19" s="156"/>
      <c r="C19" s="313" t="str">
        <f>IFERROR("These values are summarised across all applications on the application site, over all blocks, for the period "&amp; TEXT(S18,"dd mmm yyyy")&amp; " to "&amp; TEXT(S20,"dd mmm yyyy"),"")</f>
        <v>These values are summarised across all applications on the application site, over all blocks, for the period 01 Jan 2026 to 30 Jun 2026</v>
      </c>
      <c r="D19" s="313"/>
      <c r="E19" s="313"/>
      <c r="F19" s="313"/>
      <c r="G19" s="313"/>
      <c r="H19" s="313"/>
      <c r="I19" s="313"/>
      <c r="J19" s="313"/>
      <c r="K19" s="313"/>
      <c r="L19" s="313"/>
      <c r="M19" s="161"/>
      <c r="N19" s="67"/>
      <c r="S19" s="66"/>
    </row>
    <row r="20" spans="2:19" s="46" customFormat="1" ht="40.5" customHeight="1" thickBot="1">
      <c r="B20" s="156"/>
      <c r="C20" s="314" t="s">
        <v>195</v>
      </c>
      <c r="D20" s="314"/>
      <c r="E20" s="314"/>
      <c r="F20" s="314"/>
      <c r="G20" s="71"/>
      <c r="H20" s="159"/>
      <c r="I20" s="314" t="s">
        <v>196</v>
      </c>
      <c r="J20" s="314"/>
      <c r="K20" s="314"/>
      <c r="L20" s="314"/>
      <c r="M20" s="161"/>
      <c r="N20" s="67"/>
      <c r="O20" s="46" t="s">
        <v>197</v>
      </c>
      <c r="P20" s="46">
        <f>J13</f>
        <v>30</v>
      </c>
      <c r="Q20" s="46">
        <f>_xlfn.XLOOKUP(K13,SheetData!$H$24:$H$35,SheetData!$G$24:$G$35)</f>
        <v>6</v>
      </c>
      <c r="R20" s="46">
        <f>L13</f>
        <v>2026</v>
      </c>
      <c r="S20" s="66">
        <f>DATE(R20,Q20,P20)</f>
        <v>46203</v>
      </c>
    </row>
    <row r="21" spans="2:19" s="43" customFormat="1" ht="40.5" customHeight="1" thickBot="1">
      <c r="B21" s="162"/>
      <c r="C21" s="312" t="s">
        <v>198</v>
      </c>
      <c r="D21" s="312"/>
      <c r="E21" s="312"/>
      <c r="F21" s="97">
        <f>SUMIFS(Applications[Volume of solution applied
(m3)], Applications[Date], "&gt;="&amp;'5. Reporting dashboard'!S18, Applications[Date], "&lt;="&amp;'5. Reporting dashboard'!S20)</f>
        <v>0</v>
      </c>
      <c r="G21" s="12"/>
      <c r="H21" s="12"/>
      <c r="I21" s="312" t="s">
        <v>199</v>
      </c>
      <c r="J21" s="312"/>
      <c r="K21" s="312"/>
      <c r="L21" s="97" cm="1">
        <f t="array" ref="L21">IFERROR((SUM('4. Application record'!AF:AF))/(SUM(_xlfn.XLOOKUP(_xlfn.UNIQUE('4. Application record'!AD6:AD305), Blocks[Block ID], Blocks[Area (ha)]))),0)</f>
        <v>0</v>
      </c>
      <c r="M21" s="161"/>
    </row>
    <row r="22" spans="2:19" s="43" customFormat="1" ht="40.5" customHeight="1" thickBot="1">
      <c r="B22" s="162"/>
      <c r="C22" s="312" t="s">
        <v>200</v>
      </c>
      <c r="D22" s="312"/>
      <c r="E22" s="312"/>
      <c r="F22" s="97">
        <f>SUM('4. Application record'!AE:AE)</f>
        <v>0</v>
      </c>
      <c r="G22" s="12"/>
      <c r="H22" s="12"/>
      <c r="I22" s="312" t="s">
        <v>201</v>
      </c>
      <c r="J22" s="312"/>
      <c r="K22" s="312"/>
      <c r="L22" s="97">
        <f>IFERROR(L21/(($S$20-$S$18)/(365/12)),0)</f>
        <v>0</v>
      </c>
      <c r="M22" s="161"/>
    </row>
    <row r="23" spans="2:19" s="43" customFormat="1" ht="40.5" customHeight="1" thickBot="1">
      <c r="B23" s="162"/>
      <c r="C23" s="312" t="s">
        <v>202</v>
      </c>
      <c r="D23" s="312"/>
      <c r="E23" s="312"/>
      <c r="F23" s="97">
        <f>IFERROR(F21/(S20-S18),0)</f>
        <v>0</v>
      </c>
      <c r="G23" s="12"/>
      <c r="H23" s="12"/>
      <c r="I23" s="312" t="s">
        <v>203</v>
      </c>
      <c r="J23" s="312"/>
      <c r="K23" s="312"/>
      <c r="L23" s="97" cm="1">
        <f t="array" ref="L23">IFERROR((SUM('4. Application record'!AG:AG))/(SUM(_xlfn.XLOOKUP(_xlfn.UNIQUE('4. Application record'!AD6:AD305), Blocks[Block ID], Blocks[Area (ha)]))),0)</f>
        <v>0</v>
      </c>
      <c r="M23" s="161"/>
      <c r="S23" s="43">
        <f>S20-S18</f>
        <v>180</v>
      </c>
    </row>
    <row r="24" spans="2:19" s="43" customFormat="1" ht="40.5" customHeight="1" thickBot="1">
      <c r="B24" s="162"/>
      <c r="C24" s="312" t="s">
        <v>204</v>
      </c>
      <c r="D24" s="312"/>
      <c r="E24" s="312"/>
      <c r="F24" s="97">
        <f>IFERROR(F21/(S20-S18)*(365/12),0)</f>
        <v>0</v>
      </c>
      <c r="G24" s="12"/>
      <c r="H24" s="12"/>
      <c r="I24" s="312" t="s">
        <v>205</v>
      </c>
      <c r="J24" s="312"/>
      <c r="K24" s="312"/>
      <c r="L24" s="97">
        <f>IFERROR(L23/(($S$20-$S$18)/(365/12)),0)</f>
        <v>0</v>
      </c>
      <c r="M24" s="161"/>
      <c r="O24" s="48"/>
    </row>
    <row r="25" spans="2:19" s="43" customFormat="1" ht="24.6" customHeight="1">
      <c r="B25" s="162"/>
      <c r="C25" s="95"/>
      <c r="D25" s="95"/>
      <c r="E25" s="95"/>
      <c r="F25" s="96"/>
      <c r="G25" s="12"/>
      <c r="H25" s="12"/>
      <c r="I25" s="163"/>
      <c r="J25" s="163"/>
      <c r="K25" s="163"/>
      <c r="L25" s="164"/>
      <c r="M25" s="161"/>
    </row>
    <row r="26" spans="2:19" s="43" customFormat="1" ht="40.5" customHeight="1" thickBot="1">
      <c r="B26" s="162"/>
      <c r="C26" s="74" t="s">
        <v>206</v>
      </c>
      <c r="D26" s="72"/>
      <c r="E26" s="72"/>
      <c r="F26" s="72"/>
      <c r="G26" s="12"/>
      <c r="H26" s="12"/>
      <c r="I26" s="12"/>
      <c r="J26" s="12"/>
      <c r="K26" s="12"/>
      <c r="L26" s="12"/>
      <c r="M26" s="161"/>
    </row>
    <row r="27" spans="2:19" s="43" customFormat="1" ht="40.5" customHeight="1">
      <c r="B27" s="162"/>
      <c r="C27" s="165" t="str">
        <f>IFERROR("This graph displays all drain solution applications over all blocks, for the period "&amp; TEXT(S18,"dd mmm yyyy")&amp; " to "&amp; TEXT(S20,"dd mmm yyyy"),"")</f>
        <v>This graph displays all drain solution applications over all blocks, for the period 01 Jan 2026 to 30 Jun 2026</v>
      </c>
      <c r="D27" s="12"/>
      <c r="E27" s="12"/>
      <c r="F27" s="12"/>
      <c r="G27" s="12"/>
      <c r="H27" s="12"/>
      <c r="I27" s="12"/>
      <c r="J27" s="12"/>
      <c r="K27" s="12"/>
      <c r="L27" s="12"/>
      <c r="M27" s="166"/>
    </row>
    <row r="28" spans="2:19" s="43" customFormat="1" ht="40.5" customHeight="1">
      <c r="B28" s="162"/>
      <c r="C28" s="12"/>
      <c r="D28" s="12"/>
      <c r="E28" s="12"/>
      <c r="F28" s="12"/>
      <c r="G28" s="12"/>
      <c r="H28" s="12"/>
      <c r="I28" s="12"/>
      <c r="J28" s="12"/>
      <c r="K28" s="12"/>
      <c r="L28" s="12"/>
      <c r="M28" s="166"/>
    </row>
    <row r="29" spans="2:19" s="43" customFormat="1" ht="41.65" customHeight="1">
      <c r="B29" s="162"/>
      <c r="C29" s="12"/>
      <c r="D29" s="12"/>
      <c r="E29" s="12"/>
      <c r="F29" s="12"/>
      <c r="G29" s="149"/>
      <c r="H29" s="12"/>
      <c r="I29" s="160"/>
      <c r="J29" s="160"/>
      <c r="K29" s="167"/>
      <c r="L29" s="12"/>
      <c r="M29" s="166"/>
    </row>
    <row r="30" spans="2:19" s="43" customFormat="1" ht="78.75" customHeight="1">
      <c r="B30" s="162"/>
      <c r="C30" s="168"/>
      <c r="D30" s="12"/>
      <c r="E30" s="12"/>
      <c r="F30" s="12"/>
      <c r="G30" s="12"/>
      <c r="H30" s="12"/>
      <c r="I30" s="169"/>
      <c r="J30" s="12"/>
      <c r="K30" s="12"/>
      <c r="L30" s="12"/>
      <c r="M30" s="166"/>
    </row>
    <row r="31" spans="2:19" s="43" customFormat="1" ht="78.75" customHeight="1">
      <c r="B31" s="162"/>
      <c r="C31" s="168"/>
      <c r="D31" s="12"/>
      <c r="E31" s="12"/>
      <c r="F31" s="12"/>
      <c r="G31" s="12"/>
      <c r="H31" s="12"/>
      <c r="I31" s="170"/>
      <c r="J31" s="12"/>
      <c r="K31" s="170"/>
      <c r="L31" s="12"/>
      <c r="M31" s="166"/>
    </row>
    <row r="32" spans="2:19" s="43" customFormat="1">
      <c r="B32" s="162"/>
      <c r="C32" s="168"/>
      <c r="D32" s="12"/>
      <c r="E32" s="12"/>
      <c r="F32" s="12"/>
      <c r="G32" s="12"/>
      <c r="H32" s="12"/>
      <c r="I32" s="12"/>
      <c r="J32" s="12"/>
      <c r="K32" s="12"/>
      <c r="L32" s="12"/>
      <c r="M32" s="166"/>
    </row>
    <row r="33" spans="2:13" s="43" customFormat="1">
      <c r="B33" s="162"/>
      <c r="C33" s="168"/>
      <c r="D33" s="12"/>
      <c r="E33" s="12"/>
      <c r="F33" s="12"/>
      <c r="G33" s="12"/>
      <c r="H33" s="12"/>
      <c r="I33" s="12"/>
      <c r="J33" s="12"/>
      <c r="K33" s="12"/>
      <c r="L33" s="12"/>
      <c r="M33" s="166"/>
    </row>
    <row r="34" spans="2:13" s="43" customFormat="1">
      <c r="B34" s="162"/>
      <c r="C34" s="168"/>
      <c r="D34" s="12"/>
      <c r="E34" s="12"/>
      <c r="F34" s="12"/>
      <c r="G34" s="12"/>
      <c r="H34" s="12"/>
      <c r="I34" s="12"/>
      <c r="J34" s="12"/>
      <c r="K34" s="12"/>
      <c r="L34" s="12"/>
      <c r="M34" s="166"/>
    </row>
    <row r="35" spans="2:13" s="43" customFormat="1">
      <c r="B35" s="162"/>
      <c r="C35" s="168"/>
      <c r="D35" s="12"/>
      <c r="E35" s="12"/>
      <c r="F35" s="12"/>
      <c r="G35" s="12"/>
      <c r="H35" s="12"/>
      <c r="I35" s="12"/>
      <c r="J35" s="12"/>
      <c r="K35" s="12"/>
      <c r="L35" s="12"/>
      <c r="M35" s="166"/>
    </row>
    <row r="36" spans="2:13" s="43" customFormat="1">
      <c r="B36" s="162"/>
      <c r="C36" s="168"/>
      <c r="D36" s="12"/>
      <c r="E36" s="12"/>
      <c r="F36" s="12"/>
      <c r="G36" s="12"/>
      <c r="H36" s="12"/>
      <c r="I36" s="12"/>
      <c r="J36" s="12"/>
      <c r="K36" s="12"/>
      <c r="L36" s="12"/>
      <c r="M36" s="166"/>
    </row>
    <row r="37" spans="2:13" s="43" customFormat="1">
      <c r="B37" s="162"/>
      <c r="C37" s="168"/>
      <c r="D37" s="12"/>
      <c r="E37" s="12"/>
      <c r="F37" s="12"/>
      <c r="G37" s="12"/>
      <c r="H37" s="12"/>
      <c r="I37" s="12"/>
      <c r="J37" s="12"/>
      <c r="K37" s="12"/>
      <c r="L37" s="12"/>
      <c r="M37" s="166"/>
    </row>
    <row r="38" spans="2:13" s="43" customFormat="1">
      <c r="B38" s="162"/>
      <c r="C38" s="168"/>
      <c r="D38" s="12"/>
      <c r="E38" s="12"/>
      <c r="F38" s="12"/>
      <c r="G38" s="12"/>
      <c r="H38" s="12"/>
      <c r="I38" s="12"/>
      <c r="J38" s="12"/>
      <c r="K38" s="12"/>
      <c r="L38" s="12"/>
      <c r="M38" s="166"/>
    </row>
    <row r="39" spans="2:13" s="43" customFormat="1">
      <c r="B39" s="162"/>
      <c r="C39" s="168"/>
      <c r="D39" s="12"/>
      <c r="E39" s="12"/>
      <c r="F39" s="12"/>
      <c r="G39" s="12"/>
      <c r="H39" s="12"/>
      <c r="I39" s="12"/>
      <c r="J39" s="12"/>
      <c r="K39" s="12"/>
      <c r="L39" s="12"/>
      <c r="M39" s="166"/>
    </row>
    <row r="40" spans="2:13" s="46" customFormat="1" ht="16.149999999999999" customHeight="1">
      <c r="B40" s="156"/>
      <c r="C40" s="171" t="s">
        <v>207</v>
      </c>
      <c r="D40" s="172"/>
      <c r="E40" s="172"/>
      <c r="F40" s="172"/>
      <c r="G40" s="172"/>
      <c r="H40" s="172"/>
      <c r="I40" s="172"/>
      <c r="J40" s="173"/>
      <c r="K40" s="173"/>
      <c r="L40" s="173"/>
      <c r="M40" s="174"/>
    </row>
    <row r="41" spans="2:13" s="46" customFormat="1" ht="16.149999999999999" customHeight="1">
      <c r="B41" s="156"/>
      <c r="C41" s="175" t="s">
        <v>208</v>
      </c>
      <c r="D41" s="176">
        <f>'Workbook guide'!H20</f>
        <v>2</v>
      </c>
      <c r="E41" s="172"/>
      <c r="F41" s="172"/>
      <c r="G41" s="172"/>
      <c r="H41" s="172"/>
      <c r="I41" s="172"/>
      <c r="J41" s="173"/>
      <c r="K41" s="173"/>
      <c r="L41" s="173"/>
      <c r="M41" s="174"/>
    </row>
    <row r="42" spans="2:13" s="43" customFormat="1" ht="16.149999999999999" customHeight="1">
      <c r="B42" s="177"/>
      <c r="C42" s="178"/>
      <c r="D42" s="179"/>
      <c r="E42" s="179"/>
      <c r="F42" s="179"/>
      <c r="G42" s="179"/>
      <c r="H42" s="179"/>
      <c r="I42" s="179"/>
      <c r="J42" s="179"/>
      <c r="K42" s="179"/>
      <c r="L42" s="179"/>
      <c r="M42" s="180"/>
    </row>
    <row r="43" spans="2:13" s="43" customFormat="1">
      <c r="B43" s="42"/>
      <c r="C43" s="42"/>
    </row>
    <row r="44" spans="2:13" s="43" customFormat="1">
      <c r="B44" s="42"/>
      <c r="C44" s="42"/>
    </row>
    <row r="45" spans="2:13" s="43" customFormat="1">
      <c r="B45" s="42"/>
      <c r="C45" s="42"/>
    </row>
    <row r="46" spans="2:13" s="43" customFormat="1">
      <c r="B46" s="42"/>
      <c r="C46" s="42"/>
    </row>
    <row r="47" spans="2:13" s="43" customFormat="1">
      <c r="B47" s="42"/>
      <c r="C47" s="42"/>
    </row>
    <row r="48" spans="2:13" s="43" customFormat="1">
      <c r="B48" s="42"/>
      <c r="C48" s="42"/>
    </row>
    <row r="49" spans="2:3" s="43" customFormat="1">
      <c r="B49" s="42"/>
      <c r="C49" s="42"/>
    </row>
    <row r="50" spans="2:3" s="43" customFormat="1">
      <c r="B50" s="42"/>
      <c r="C50" s="42"/>
    </row>
    <row r="51" spans="2:3" s="43" customFormat="1">
      <c r="B51" s="42"/>
      <c r="C51" s="42"/>
    </row>
    <row r="52" spans="2:3" s="43" customFormat="1">
      <c r="B52" s="42"/>
      <c r="C52" s="42"/>
    </row>
    <row r="53" spans="2:3" s="43" customFormat="1">
      <c r="B53" s="42"/>
      <c r="C53" s="42"/>
    </row>
    <row r="54" spans="2:3" s="43" customFormat="1">
      <c r="B54" s="42"/>
      <c r="C54" s="42"/>
    </row>
    <row r="55" spans="2:3" s="43" customFormat="1">
      <c r="B55" s="42"/>
      <c r="C55" s="42"/>
    </row>
    <row r="56" spans="2:3" s="43" customFormat="1">
      <c r="B56" s="42"/>
      <c r="C56" s="42"/>
    </row>
    <row r="57" spans="2:3" s="43" customFormat="1">
      <c r="B57" s="42"/>
      <c r="C57" s="42"/>
    </row>
    <row r="58" spans="2:3" s="43" customFormat="1">
      <c r="B58" s="42"/>
      <c r="C58" s="42"/>
    </row>
    <row r="59" spans="2:3" s="43" customFormat="1">
      <c r="B59" s="42"/>
      <c r="C59" s="42"/>
    </row>
    <row r="60" spans="2:3" s="43" customFormat="1">
      <c r="B60" s="42"/>
      <c r="C60" s="42"/>
    </row>
    <row r="61" spans="2:3" s="43" customFormat="1">
      <c r="B61" s="42"/>
      <c r="C61" s="42"/>
    </row>
    <row r="62" spans="2:3" s="43" customFormat="1">
      <c r="B62" s="42"/>
      <c r="C62" s="42"/>
    </row>
    <row r="63" spans="2:3" s="43" customFormat="1">
      <c r="B63" s="42"/>
      <c r="C63" s="42"/>
    </row>
    <row r="64" spans="2:3" s="43" customFormat="1">
      <c r="B64" s="42"/>
      <c r="C64" s="42"/>
    </row>
    <row r="65" spans="2:3" s="43" customFormat="1">
      <c r="B65" s="42"/>
      <c r="C65" s="42"/>
    </row>
    <row r="66" spans="2:3" s="43" customFormat="1">
      <c r="B66" s="42"/>
      <c r="C66" s="42"/>
    </row>
    <row r="67" spans="2:3" s="43" customFormat="1">
      <c r="B67" s="42"/>
      <c r="C67" s="42"/>
    </row>
    <row r="68" spans="2:3" s="43" customFormat="1">
      <c r="B68" s="42"/>
      <c r="C68" s="42"/>
    </row>
    <row r="69" spans="2:3" s="43" customFormat="1">
      <c r="B69" s="42"/>
      <c r="C69" s="42"/>
    </row>
    <row r="70" spans="2:3" s="43" customFormat="1">
      <c r="B70" s="42"/>
      <c r="C70" s="42"/>
    </row>
    <row r="71" spans="2:3" s="43" customFormat="1">
      <c r="B71" s="42"/>
      <c r="C71" s="42"/>
    </row>
    <row r="72" spans="2:3" s="43" customFormat="1">
      <c r="B72" s="42"/>
      <c r="C72" s="42"/>
    </row>
    <row r="73" spans="2:3" s="43" customFormat="1">
      <c r="B73" s="42"/>
      <c r="C73" s="42"/>
    </row>
    <row r="74" spans="2:3" s="43" customFormat="1">
      <c r="B74" s="42"/>
      <c r="C74" s="42"/>
    </row>
    <row r="75" spans="2:3" s="43" customFormat="1">
      <c r="B75" s="42"/>
      <c r="C75" s="42"/>
    </row>
    <row r="76" spans="2:3" s="43" customFormat="1">
      <c r="B76" s="42"/>
      <c r="C76" s="42"/>
    </row>
    <row r="77" spans="2:3" s="43" customFormat="1">
      <c r="B77" s="42"/>
      <c r="C77" s="42"/>
    </row>
    <row r="78" spans="2:3" s="43" customFormat="1">
      <c r="B78" s="42"/>
      <c r="C78" s="42"/>
    </row>
    <row r="79" spans="2:3" s="43" customFormat="1">
      <c r="B79" s="42"/>
      <c r="C79" s="42"/>
    </row>
    <row r="80" spans="2:3" s="43" customFormat="1">
      <c r="B80" s="42"/>
      <c r="C80" s="42"/>
    </row>
    <row r="81" spans="2:13" s="43" customFormat="1">
      <c r="B81" s="42"/>
      <c r="C81" s="42"/>
    </row>
    <row r="82" spans="2:13" s="43" customFormat="1">
      <c r="B82" s="42"/>
      <c r="C82" s="42"/>
    </row>
    <row r="83" spans="2:13">
      <c r="B83" s="42"/>
      <c r="C83" s="42"/>
      <c r="D83" s="43"/>
      <c r="E83" s="43"/>
      <c r="F83" s="43"/>
      <c r="G83" s="43"/>
      <c r="H83" s="43"/>
      <c r="I83" s="43"/>
      <c r="J83" s="43"/>
      <c r="K83" s="43"/>
      <c r="L83" s="43"/>
      <c r="M83" s="43"/>
    </row>
    <row r="84" spans="2:13">
      <c r="B84" s="42"/>
      <c r="C84" s="42"/>
      <c r="D84" s="43"/>
      <c r="E84" s="43"/>
      <c r="F84" s="43"/>
      <c r="G84" s="43"/>
      <c r="H84" s="43"/>
      <c r="I84" s="43"/>
      <c r="J84" s="43"/>
      <c r="K84" s="43"/>
      <c r="L84" s="43"/>
      <c r="M84" s="43"/>
    </row>
    <row r="85" spans="2:13">
      <c r="B85" s="42"/>
      <c r="C85" s="42"/>
      <c r="D85" s="43"/>
      <c r="E85" s="43"/>
      <c r="F85" s="43"/>
      <c r="G85" s="43"/>
      <c r="H85" s="43"/>
      <c r="I85" s="43"/>
      <c r="J85" s="43"/>
      <c r="K85" s="43"/>
      <c r="L85" s="43"/>
      <c r="M85" s="43"/>
    </row>
    <row r="86" spans="2:13">
      <c r="B86" s="42"/>
      <c r="C86" s="42"/>
      <c r="D86" s="43"/>
      <c r="E86" s="43"/>
      <c r="F86" s="43"/>
      <c r="G86" s="43"/>
      <c r="H86" s="43"/>
      <c r="I86" s="43"/>
      <c r="J86" s="43"/>
      <c r="K86" s="43"/>
      <c r="L86" s="43"/>
      <c r="M86" s="43"/>
    </row>
    <row r="87" spans="2:13">
      <c r="B87" s="42"/>
      <c r="C87" s="42"/>
      <c r="D87" s="43"/>
      <c r="E87" s="43"/>
      <c r="F87" s="43"/>
      <c r="G87" s="43"/>
      <c r="H87" s="43"/>
      <c r="I87" s="43"/>
      <c r="J87" s="43"/>
      <c r="K87" s="43"/>
      <c r="L87" s="43"/>
      <c r="M87" s="43"/>
    </row>
    <row r="88" spans="2:13">
      <c r="B88" s="42"/>
      <c r="C88" s="42"/>
      <c r="D88" s="43"/>
      <c r="E88" s="43"/>
      <c r="F88" s="43"/>
      <c r="G88" s="43"/>
      <c r="H88" s="43"/>
      <c r="I88" s="43"/>
      <c r="J88" s="43"/>
      <c r="K88" s="43"/>
      <c r="L88" s="43"/>
      <c r="M88" s="43"/>
    </row>
    <row r="89" spans="2:13">
      <c r="B89" s="42"/>
      <c r="C89" s="42"/>
      <c r="D89" s="43"/>
      <c r="E89" s="43"/>
      <c r="F89" s="43"/>
      <c r="G89" s="43"/>
      <c r="H89" s="43"/>
      <c r="I89" s="43"/>
      <c r="J89" s="43"/>
      <c r="K89" s="43"/>
      <c r="L89" s="43"/>
      <c r="M89" s="43"/>
    </row>
    <row r="90" spans="2:13">
      <c r="B90" s="42"/>
      <c r="C90" s="42"/>
      <c r="D90" s="43"/>
      <c r="E90" s="43"/>
      <c r="F90" s="43"/>
      <c r="G90" s="43"/>
      <c r="H90" s="43"/>
      <c r="I90" s="43"/>
      <c r="J90" s="43"/>
      <c r="K90" s="43"/>
      <c r="L90" s="43"/>
      <c r="M90" s="43"/>
    </row>
    <row r="91" spans="2:13">
      <c r="B91" s="42"/>
      <c r="C91" s="42"/>
      <c r="D91" s="43"/>
      <c r="E91" s="43"/>
      <c r="F91" s="43"/>
      <c r="G91" s="43"/>
      <c r="H91" s="43"/>
      <c r="I91" s="43"/>
      <c r="J91" s="43"/>
      <c r="K91" s="43"/>
      <c r="L91" s="43"/>
      <c r="M91" s="43"/>
    </row>
    <row r="92" spans="2:13">
      <c r="B92" s="42"/>
      <c r="C92" s="42"/>
      <c r="D92" s="43"/>
      <c r="E92" s="43"/>
      <c r="F92" s="43"/>
      <c r="G92" s="43"/>
      <c r="H92" s="43"/>
      <c r="I92" s="43"/>
      <c r="J92" s="43"/>
      <c r="K92" s="43"/>
      <c r="L92" s="43"/>
      <c r="M92" s="43"/>
    </row>
    <row r="93" spans="2:13">
      <c r="B93" s="42"/>
      <c r="C93" s="42"/>
      <c r="D93" s="43"/>
      <c r="E93" s="43"/>
      <c r="F93" s="43"/>
      <c r="G93" s="43"/>
      <c r="H93" s="43"/>
      <c r="I93" s="43"/>
      <c r="J93" s="43"/>
      <c r="K93" s="43"/>
      <c r="L93" s="43"/>
      <c r="M93" s="43"/>
    </row>
    <row r="94" spans="2:13">
      <c r="B94" s="42"/>
      <c r="C94" s="42"/>
      <c r="D94" s="43"/>
      <c r="E94" s="43"/>
      <c r="F94" s="43"/>
      <c r="G94" s="43"/>
      <c r="H94" s="43"/>
      <c r="I94" s="43"/>
      <c r="J94" s="43"/>
      <c r="K94" s="43"/>
      <c r="L94" s="43"/>
      <c r="M94" s="43"/>
    </row>
    <row r="95" spans="2:13">
      <c r="B95" s="42"/>
      <c r="C95" s="42"/>
      <c r="D95" s="43"/>
      <c r="E95" s="43"/>
      <c r="F95" s="43"/>
      <c r="G95" s="43"/>
      <c r="H95" s="43"/>
      <c r="I95" s="43"/>
      <c r="J95" s="43"/>
      <c r="K95" s="43"/>
      <c r="L95" s="43"/>
      <c r="M95" s="43"/>
    </row>
    <row r="96" spans="2:13">
      <c r="B96" s="42"/>
      <c r="C96" s="42"/>
      <c r="D96" s="43"/>
      <c r="E96" s="43"/>
      <c r="F96" s="43"/>
      <c r="G96" s="43"/>
      <c r="H96" s="43"/>
      <c r="I96" s="43"/>
      <c r="J96" s="43"/>
      <c r="K96" s="43"/>
      <c r="L96" s="43"/>
      <c r="M96" s="43"/>
    </row>
    <row r="97" spans="2:13">
      <c r="B97" s="42"/>
      <c r="C97" s="42"/>
      <c r="D97" s="43"/>
      <c r="E97" s="43"/>
      <c r="F97" s="43"/>
      <c r="G97" s="43"/>
      <c r="H97" s="43"/>
      <c r="I97" s="43"/>
      <c r="J97" s="43"/>
      <c r="K97" s="43"/>
      <c r="L97" s="43"/>
      <c r="M97" s="43"/>
    </row>
    <row r="98" spans="2:13">
      <c r="B98" s="42"/>
      <c r="C98" s="42"/>
      <c r="D98" s="43"/>
      <c r="E98" s="43"/>
      <c r="F98" s="43"/>
      <c r="G98" s="43"/>
      <c r="H98" s="43"/>
      <c r="I98" s="43"/>
      <c r="J98" s="43"/>
      <c r="K98" s="43"/>
      <c r="L98" s="43"/>
      <c r="M98" s="43"/>
    </row>
    <row r="99" spans="2:13">
      <c r="B99" s="42"/>
      <c r="C99" s="42"/>
      <c r="D99" s="43"/>
      <c r="E99" s="43"/>
      <c r="F99" s="43"/>
      <c r="G99" s="43"/>
      <c r="H99" s="43"/>
      <c r="I99" s="43"/>
      <c r="J99" s="43"/>
      <c r="K99" s="43"/>
      <c r="L99" s="43"/>
      <c r="M99" s="43"/>
    </row>
    <row r="100" spans="2:13">
      <c r="B100" s="42"/>
      <c r="C100" s="42"/>
      <c r="D100" s="43"/>
      <c r="E100" s="43"/>
      <c r="F100" s="43"/>
      <c r="G100" s="43"/>
      <c r="H100" s="43"/>
      <c r="I100" s="43"/>
      <c r="J100" s="43"/>
      <c r="K100" s="43"/>
      <c r="L100" s="43"/>
      <c r="M100" s="43"/>
    </row>
    <row r="101" spans="2:13">
      <c r="B101" s="42"/>
      <c r="C101" s="42"/>
      <c r="D101" s="43"/>
      <c r="E101" s="43"/>
      <c r="F101" s="43"/>
      <c r="G101" s="43"/>
      <c r="H101" s="43"/>
      <c r="I101" s="43"/>
      <c r="J101" s="43"/>
      <c r="K101" s="43"/>
      <c r="L101" s="43"/>
      <c r="M101" s="43"/>
    </row>
    <row r="102" spans="2:13">
      <c r="B102" s="42"/>
      <c r="C102" s="42"/>
      <c r="D102" s="43"/>
      <c r="E102" s="43"/>
      <c r="F102" s="43"/>
      <c r="G102" s="43"/>
      <c r="H102" s="43"/>
      <c r="I102" s="43"/>
      <c r="J102" s="43"/>
      <c r="K102" s="43"/>
      <c r="L102" s="43"/>
      <c r="M102" s="43"/>
    </row>
    <row r="103" spans="2:13">
      <c r="B103" s="42"/>
      <c r="C103" s="42"/>
      <c r="D103" s="43"/>
      <c r="E103" s="43"/>
      <c r="F103" s="43"/>
      <c r="G103" s="43"/>
      <c r="H103" s="43"/>
      <c r="I103" s="43"/>
      <c r="J103" s="43"/>
      <c r="K103" s="43"/>
      <c r="L103" s="43"/>
      <c r="M103" s="43"/>
    </row>
    <row r="104" spans="2:13">
      <c r="B104" s="42"/>
      <c r="C104" s="42"/>
      <c r="D104" s="43"/>
      <c r="E104" s="43"/>
      <c r="F104" s="43"/>
      <c r="G104" s="43"/>
      <c r="H104" s="43"/>
      <c r="I104" s="43"/>
      <c r="J104" s="43"/>
      <c r="K104" s="43"/>
      <c r="L104" s="43"/>
      <c r="M104" s="43"/>
    </row>
    <row r="105" spans="2:13">
      <c r="B105" s="42"/>
      <c r="C105" s="42"/>
      <c r="D105" s="43"/>
      <c r="E105" s="43"/>
      <c r="F105" s="43"/>
      <c r="G105" s="43"/>
      <c r="H105" s="43"/>
      <c r="I105" s="43"/>
      <c r="J105" s="43"/>
      <c r="K105" s="43"/>
      <c r="L105" s="43"/>
      <c r="M105" s="43"/>
    </row>
    <row r="106" spans="2:13">
      <c r="B106" s="42"/>
      <c r="C106" s="42"/>
      <c r="D106" s="43"/>
      <c r="E106" s="43"/>
      <c r="F106" s="43"/>
      <c r="G106" s="43"/>
      <c r="H106" s="43"/>
      <c r="I106" s="43"/>
      <c r="J106" s="43"/>
      <c r="K106" s="43"/>
      <c r="L106" s="43"/>
      <c r="M106" s="43"/>
    </row>
    <row r="107" spans="2:13">
      <c r="B107" s="42"/>
      <c r="C107" s="42"/>
      <c r="D107" s="43"/>
      <c r="E107" s="43"/>
      <c r="F107" s="43"/>
      <c r="G107" s="43"/>
      <c r="H107" s="43"/>
      <c r="I107" s="43"/>
      <c r="J107" s="43"/>
      <c r="K107" s="43"/>
      <c r="L107" s="43"/>
      <c r="M107" s="43"/>
    </row>
    <row r="108" spans="2:13">
      <c r="B108" s="42"/>
      <c r="C108" s="42"/>
      <c r="D108" s="43"/>
      <c r="E108" s="43"/>
      <c r="F108" s="43"/>
      <c r="G108" s="43"/>
      <c r="H108" s="43"/>
      <c r="I108" s="43"/>
      <c r="J108" s="43"/>
      <c r="K108" s="43"/>
      <c r="L108" s="43"/>
      <c r="M108" s="43"/>
    </row>
    <row r="109" spans="2:13">
      <c r="B109" s="42"/>
      <c r="C109" s="42"/>
      <c r="D109" s="43"/>
      <c r="E109" s="43"/>
      <c r="F109" s="43"/>
      <c r="G109" s="43"/>
      <c r="H109" s="43"/>
      <c r="I109" s="43"/>
      <c r="J109" s="43"/>
      <c r="K109" s="43"/>
      <c r="L109" s="43"/>
      <c r="M109" s="43"/>
    </row>
    <row r="110" spans="2:13">
      <c r="B110" s="42"/>
      <c r="C110" s="42"/>
      <c r="D110" s="43"/>
      <c r="E110" s="43"/>
      <c r="F110" s="43"/>
      <c r="G110" s="43"/>
      <c r="H110" s="43"/>
      <c r="I110" s="43"/>
      <c r="J110" s="43"/>
      <c r="K110" s="43"/>
      <c r="L110" s="43"/>
      <c r="M110" s="43"/>
    </row>
    <row r="111" spans="2:13">
      <c r="B111" s="42"/>
      <c r="C111" s="42"/>
      <c r="D111" s="43"/>
      <c r="E111" s="43"/>
      <c r="F111" s="43"/>
      <c r="G111" s="43"/>
      <c r="H111" s="43"/>
      <c r="I111" s="43"/>
      <c r="J111" s="43"/>
      <c r="K111" s="43"/>
      <c r="L111" s="43"/>
      <c r="M111" s="43"/>
    </row>
    <row r="112" spans="2:13">
      <c r="B112" s="42"/>
      <c r="C112" s="42"/>
      <c r="D112" s="43"/>
      <c r="E112" s="43"/>
      <c r="F112" s="43"/>
      <c r="G112" s="43"/>
      <c r="H112" s="43"/>
      <c r="I112" s="43"/>
      <c r="J112" s="43"/>
      <c r="K112" s="43"/>
      <c r="L112" s="43"/>
      <c r="M112" s="43"/>
    </row>
    <row r="113" spans="2:13">
      <c r="B113" s="42"/>
      <c r="C113" s="42"/>
      <c r="D113" s="43"/>
      <c r="E113" s="43"/>
      <c r="F113" s="43"/>
      <c r="G113" s="43"/>
      <c r="H113" s="43"/>
      <c r="I113" s="43"/>
      <c r="J113" s="43"/>
      <c r="K113" s="43"/>
      <c r="L113" s="43"/>
      <c r="M113" s="43"/>
    </row>
    <row r="114" spans="2:13">
      <c r="B114" s="42"/>
      <c r="C114" s="42"/>
      <c r="D114" s="43"/>
      <c r="E114" s="43"/>
      <c r="F114" s="43"/>
      <c r="G114" s="43"/>
      <c r="H114" s="43"/>
      <c r="I114" s="43"/>
      <c r="J114" s="43"/>
      <c r="K114" s="43"/>
      <c r="L114" s="43"/>
      <c r="M114" s="43"/>
    </row>
    <row r="115" spans="2:13">
      <c r="B115" s="42"/>
      <c r="C115" s="42"/>
      <c r="D115" s="43"/>
      <c r="E115" s="43"/>
      <c r="F115" s="43"/>
      <c r="G115" s="43"/>
      <c r="H115" s="43"/>
      <c r="I115" s="43"/>
      <c r="J115" s="43"/>
      <c r="K115" s="43"/>
      <c r="L115" s="43"/>
      <c r="M115" s="43"/>
    </row>
    <row r="116" spans="2:13">
      <c r="B116" s="42"/>
      <c r="C116" s="42"/>
      <c r="D116" s="43"/>
      <c r="E116" s="43"/>
      <c r="F116" s="43"/>
      <c r="G116" s="43"/>
      <c r="H116" s="43"/>
      <c r="I116" s="43"/>
      <c r="J116" s="43"/>
      <c r="K116" s="43"/>
      <c r="L116" s="43"/>
      <c r="M116" s="43"/>
    </row>
    <row r="117" spans="2:13">
      <c r="B117" s="42"/>
      <c r="C117" s="42"/>
      <c r="D117" s="43"/>
      <c r="E117" s="43"/>
      <c r="F117" s="43"/>
      <c r="G117" s="43"/>
      <c r="H117" s="43"/>
      <c r="I117" s="43"/>
      <c r="J117" s="43"/>
      <c r="K117" s="43"/>
      <c r="L117" s="43"/>
      <c r="M117" s="43"/>
    </row>
    <row r="118" spans="2:13">
      <c r="B118" s="42"/>
      <c r="C118" s="42"/>
      <c r="D118" s="43"/>
      <c r="E118" s="43"/>
      <c r="F118" s="43"/>
      <c r="G118" s="43"/>
      <c r="H118" s="43"/>
      <c r="I118" s="43"/>
      <c r="J118" s="43"/>
      <c r="K118" s="43"/>
      <c r="L118" s="43"/>
      <c r="M118" s="43"/>
    </row>
    <row r="119" spans="2:13">
      <c r="B119" s="42"/>
      <c r="C119" s="42"/>
      <c r="D119" s="43"/>
      <c r="E119" s="43"/>
      <c r="F119" s="43"/>
      <c r="G119" s="43"/>
      <c r="H119" s="43"/>
      <c r="I119" s="43"/>
      <c r="J119" s="43"/>
      <c r="K119" s="43"/>
      <c r="L119" s="43"/>
      <c r="M119" s="43"/>
    </row>
    <row r="120" spans="2:13">
      <c r="B120" s="42"/>
      <c r="C120" s="42"/>
      <c r="D120" s="43"/>
      <c r="E120" s="43"/>
      <c r="F120" s="43"/>
      <c r="G120" s="43"/>
      <c r="H120" s="43"/>
      <c r="I120" s="43"/>
      <c r="J120" s="43"/>
      <c r="K120" s="43"/>
      <c r="L120" s="43"/>
      <c r="M120" s="43"/>
    </row>
    <row r="121" spans="2:13">
      <c r="B121" s="42"/>
      <c r="C121" s="42"/>
      <c r="D121" s="43"/>
      <c r="E121" s="43"/>
      <c r="F121" s="43"/>
      <c r="G121" s="43"/>
      <c r="H121" s="43"/>
      <c r="I121" s="43"/>
      <c r="J121" s="43"/>
      <c r="K121" s="43"/>
      <c r="L121" s="43"/>
      <c r="M121" s="43"/>
    </row>
    <row r="122" spans="2:13">
      <c r="B122" s="42"/>
      <c r="C122" s="42"/>
      <c r="D122" s="43"/>
      <c r="E122" s="43"/>
      <c r="F122" s="43"/>
      <c r="G122" s="43"/>
      <c r="H122" s="43"/>
      <c r="I122" s="43"/>
      <c r="J122" s="43"/>
      <c r="K122" s="43"/>
      <c r="L122" s="43"/>
      <c r="M122" s="43"/>
    </row>
    <row r="123" spans="2:13">
      <c r="B123" s="42"/>
      <c r="C123" s="42"/>
      <c r="D123" s="43"/>
      <c r="E123" s="43"/>
      <c r="F123" s="43"/>
      <c r="G123" s="43"/>
      <c r="H123" s="43"/>
      <c r="I123" s="43"/>
      <c r="J123" s="43"/>
      <c r="K123" s="43"/>
      <c r="L123" s="43"/>
      <c r="M123" s="43"/>
    </row>
    <row r="124" spans="2:13">
      <c r="B124" s="42"/>
      <c r="C124" s="42"/>
      <c r="D124" s="43"/>
      <c r="E124" s="43"/>
      <c r="F124" s="43"/>
      <c r="G124" s="43"/>
      <c r="H124" s="43"/>
      <c r="I124" s="43"/>
      <c r="J124" s="43"/>
      <c r="K124" s="43"/>
      <c r="L124" s="43"/>
      <c r="M124" s="43"/>
    </row>
    <row r="125" spans="2:13">
      <c r="B125" s="42"/>
      <c r="C125" s="42"/>
      <c r="D125" s="43"/>
      <c r="E125" s="43"/>
      <c r="F125" s="43"/>
      <c r="G125" s="43"/>
      <c r="H125" s="43"/>
      <c r="I125" s="43"/>
      <c r="J125" s="43"/>
      <c r="K125" s="43"/>
      <c r="L125" s="43"/>
      <c r="M125" s="43"/>
    </row>
    <row r="126" spans="2:13">
      <c r="B126" s="42"/>
      <c r="C126" s="42"/>
      <c r="D126" s="43"/>
      <c r="E126" s="43"/>
      <c r="F126" s="43"/>
      <c r="G126" s="43"/>
      <c r="H126" s="43"/>
      <c r="I126" s="43"/>
      <c r="J126" s="43"/>
      <c r="K126" s="43"/>
      <c r="L126" s="43"/>
      <c r="M126" s="43"/>
    </row>
    <row r="127" spans="2:13">
      <c r="B127" s="42"/>
      <c r="C127" s="42"/>
      <c r="D127" s="43"/>
      <c r="E127" s="43"/>
      <c r="F127" s="43"/>
      <c r="G127" s="43"/>
      <c r="H127" s="43"/>
      <c r="I127" s="43"/>
      <c r="J127" s="43"/>
      <c r="K127" s="43"/>
      <c r="L127" s="43"/>
      <c r="M127" s="43"/>
    </row>
    <row r="128" spans="2:13">
      <c r="B128" s="42"/>
      <c r="C128" s="42"/>
      <c r="D128" s="43"/>
      <c r="E128" s="43"/>
      <c r="F128" s="43"/>
      <c r="G128" s="43"/>
      <c r="H128" s="43"/>
      <c r="I128" s="43"/>
      <c r="J128" s="43"/>
      <c r="K128" s="43"/>
      <c r="L128" s="43"/>
      <c r="M128" s="43"/>
    </row>
    <row r="129" spans="2:13">
      <c r="B129" s="42"/>
      <c r="C129" s="42"/>
      <c r="D129" s="43"/>
      <c r="E129" s="43"/>
      <c r="F129" s="43"/>
      <c r="G129" s="43"/>
      <c r="H129" s="43"/>
      <c r="I129" s="43"/>
      <c r="J129" s="43"/>
      <c r="K129" s="43"/>
      <c r="L129" s="43"/>
      <c r="M129" s="43"/>
    </row>
    <row r="130" spans="2:13">
      <c r="B130" s="42"/>
      <c r="C130" s="42"/>
      <c r="D130" s="43"/>
      <c r="E130" s="43"/>
      <c r="F130" s="43"/>
      <c r="G130" s="43"/>
      <c r="H130" s="43"/>
      <c r="I130" s="43"/>
      <c r="J130" s="43"/>
      <c r="K130" s="43"/>
      <c r="L130" s="43"/>
      <c r="M130" s="43"/>
    </row>
    <row r="131" spans="2:13">
      <c r="B131" s="42"/>
      <c r="C131" s="42"/>
      <c r="D131" s="43"/>
      <c r="E131" s="43"/>
      <c r="F131" s="43"/>
      <c r="G131" s="43"/>
      <c r="H131" s="43"/>
      <c r="I131" s="43"/>
      <c r="J131" s="43"/>
      <c r="K131" s="43"/>
      <c r="L131" s="43"/>
      <c r="M131" s="43"/>
    </row>
    <row r="132" spans="2:13">
      <c r="B132" s="42"/>
      <c r="C132" s="42"/>
      <c r="D132" s="43"/>
      <c r="E132" s="43"/>
      <c r="F132" s="43"/>
      <c r="G132" s="43"/>
      <c r="H132" s="43"/>
      <c r="I132" s="43"/>
      <c r="J132" s="43"/>
      <c r="K132" s="43"/>
      <c r="L132" s="43"/>
      <c r="M132" s="43"/>
    </row>
    <row r="133" spans="2:13">
      <c r="B133" s="42"/>
      <c r="C133" s="42"/>
      <c r="D133" s="43"/>
      <c r="E133" s="43"/>
      <c r="F133" s="43"/>
      <c r="G133" s="43"/>
      <c r="H133" s="43"/>
      <c r="I133" s="43"/>
      <c r="J133" s="43"/>
      <c r="K133" s="43"/>
      <c r="L133" s="43"/>
      <c r="M133" s="43"/>
    </row>
    <row r="134" spans="2:13">
      <c r="B134" s="42"/>
      <c r="C134" s="42"/>
      <c r="D134" s="43"/>
      <c r="E134" s="43"/>
      <c r="F134" s="43"/>
      <c r="G134" s="43"/>
      <c r="H134" s="43"/>
      <c r="I134" s="43"/>
      <c r="J134" s="43"/>
      <c r="K134" s="43"/>
      <c r="L134" s="43"/>
      <c r="M134" s="43"/>
    </row>
    <row r="135" spans="2:13">
      <c r="B135" s="42"/>
      <c r="C135" s="42"/>
      <c r="D135" s="43"/>
      <c r="E135" s="43"/>
      <c r="F135" s="43"/>
      <c r="G135" s="43"/>
      <c r="H135" s="43"/>
      <c r="I135" s="43"/>
      <c r="J135" s="43"/>
      <c r="K135" s="43"/>
      <c r="L135" s="43"/>
      <c r="M135" s="43"/>
    </row>
    <row r="136" spans="2:13">
      <c r="B136" s="42"/>
      <c r="C136" s="42"/>
      <c r="D136" s="43"/>
      <c r="E136" s="43"/>
      <c r="F136" s="43"/>
      <c r="G136" s="43"/>
      <c r="H136" s="43"/>
      <c r="I136" s="43"/>
      <c r="J136" s="43"/>
      <c r="K136" s="43"/>
      <c r="L136" s="43"/>
      <c r="M136" s="43"/>
    </row>
    <row r="137" spans="2:13">
      <c r="B137" s="42"/>
      <c r="C137" s="42"/>
      <c r="D137" s="43"/>
      <c r="E137" s="43"/>
      <c r="F137" s="43"/>
      <c r="G137" s="43"/>
      <c r="H137" s="43"/>
      <c r="I137" s="43"/>
      <c r="J137" s="43"/>
      <c r="K137" s="43"/>
      <c r="L137" s="43"/>
      <c r="M137" s="43"/>
    </row>
    <row r="138" spans="2:13">
      <c r="B138" s="42"/>
      <c r="C138" s="42"/>
      <c r="D138" s="43"/>
      <c r="E138" s="43"/>
      <c r="F138" s="43"/>
      <c r="G138" s="43"/>
      <c r="H138" s="43"/>
      <c r="I138" s="43"/>
      <c r="J138" s="43"/>
      <c r="K138" s="43"/>
      <c r="L138" s="43"/>
      <c r="M138" s="43"/>
    </row>
    <row r="139" spans="2:13">
      <c r="B139" s="42"/>
      <c r="C139" s="42"/>
      <c r="D139" s="43"/>
      <c r="E139" s="43"/>
      <c r="F139" s="43"/>
      <c r="G139" s="43"/>
      <c r="H139" s="43"/>
      <c r="I139" s="43"/>
      <c r="J139" s="43"/>
      <c r="K139" s="43"/>
      <c r="L139" s="43"/>
      <c r="M139" s="43"/>
    </row>
    <row r="140" spans="2:13">
      <c r="B140" s="42"/>
      <c r="C140" s="42"/>
      <c r="D140" s="43"/>
      <c r="E140" s="43"/>
      <c r="F140" s="43"/>
      <c r="G140" s="43"/>
      <c r="H140" s="43"/>
      <c r="I140" s="43"/>
      <c r="J140" s="43"/>
      <c r="K140" s="43"/>
      <c r="L140" s="43"/>
      <c r="M140" s="43"/>
    </row>
    <row r="141" spans="2:13">
      <c r="B141" s="42"/>
      <c r="C141" s="42"/>
      <c r="D141" s="43"/>
      <c r="E141" s="43"/>
      <c r="F141" s="43"/>
      <c r="G141" s="43"/>
      <c r="H141" s="43"/>
      <c r="I141" s="43"/>
      <c r="J141" s="43"/>
      <c r="K141" s="43"/>
      <c r="L141" s="43"/>
      <c r="M141" s="43"/>
    </row>
    <row r="142" spans="2:13">
      <c r="B142" s="42"/>
      <c r="C142" s="42"/>
      <c r="D142" s="43"/>
      <c r="E142" s="43"/>
      <c r="F142" s="43"/>
      <c r="G142" s="43"/>
      <c r="H142" s="43"/>
      <c r="I142" s="43"/>
      <c r="J142" s="43"/>
      <c r="K142" s="43"/>
      <c r="L142" s="43"/>
      <c r="M142" s="43"/>
    </row>
    <row r="143" spans="2:13">
      <c r="B143" s="42"/>
      <c r="C143" s="42"/>
      <c r="D143" s="43"/>
      <c r="E143" s="43"/>
      <c r="F143" s="43"/>
      <c r="G143" s="43"/>
      <c r="H143" s="43"/>
      <c r="I143" s="43"/>
      <c r="J143" s="43"/>
      <c r="K143" s="43"/>
      <c r="L143" s="43"/>
      <c r="M143" s="43"/>
    </row>
    <row r="144" spans="2:13">
      <c r="B144" s="42"/>
      <c r="C144" s="42"/>
      <c r="D144" s="43"/>
      <c r="E144" s="43"/>
      <c r="F144" s="43"/>
      <c r="G144" s="43"/>
      <c r="H144" s="43"/>
      <c r="I144" s="43"/>
      <c r="J144" s="43"/>
      <c r="K144" s="43"/>
      <c r="L144" s="43"/>
      <c r="M144" s="43"/>
    </row>
    <row r="145" spans="2:13">
      <c r="B145" s="42"/>
      <c r="C145" s="42"/>
      <c r="D145" s="43"/>
      <c r="E145" s="43"/>
      <c r="F145" s="43"/>
      <c r="G145" s="43"/>
      <c r="H145" s="43"/>
      <c r="I145" s="43"/>
      <c r="J145" s="43"/>
      <c r="K145" s="43"/>
      <c r="L145" s="43"/>
      <c r="M145" s="43"/>
    </row>
    <row r="146" spans="2:13">
      <c r="B146" s="42"/>
      <c r="C146" s="42"/>
      <c r="D146" s="43"/>
      <c r="E146" s="43"/>
      <c r="F146" s="43"/>
      <c r="G146" s="43"/>
      <c r="H146" s="43"/>
      <c r="I146" s="43"/>
      <c r="J146" s="43"/>
      <c r="K146" s="43"/>
      <c r="L146" s="43"/>
      <c r="M146" s="43"/>
    </row>
    <row r="147" spans="2:13">
      <c r="B147" s="42"/>
      <c r="C147" s="42"/>
      <c r="D147" s="43"/>
      <c r="E147" s="43"/>
      <c r="F147" s="43"/>
      <c r="G147" s="43"/>
      <c r="H147" s="43"/>
      <c r="I147" s="43"/>
      <c r="J147" s="43"/>
      <c r="K147" s="43"/>
      <c r="L147" s="43"/>
      <c r="M147" s="43"/>
    </row>
    <row r="148" spans="2:13">
      <c r="B148" s="42"/>
      <c r="C148" s="42"/>
      <c r="D148" s="43"/>
      <c r="E148" s="43"/>
      <c r="F148" s="43"/>
      <c r="G148" s="43"/>
      <c r="H148" s="43"/>
      <c r="I148" s="43"/>
      <c r="J148" s="43"/>
      <c r="K148" s="43"/>
      <c r="L148" s="43"/>
      <c r="M148" s="43"/>
    </row>
    <row r="149" spans="2:13">
      <c r="B149" s="42"/>
      <c r="C149" s="42"/>
      <c r="D149" s="43"/>
      <c r="E149" s="43"/>
      <c r="F149" s="43"/>
      <c r="G149" s="43"/>
      <c r="H149" s="43"/>
      <c r="I149" s="43"/>
      <c r="J149" s="43"/>
      <c r="K149" s="43"/>
      <c r="L149" s="43"/>
      <c r="M149" s="43"/>
    </row>
    <row r="150" spans="2:13">
      <c r="B150" s="42"/>
      <c r="C150" s="42"/>
      <c r="D150" s="43"/>
      <c r="E150" s="43"/>
      <c r="F150" s="43"/>
      <c r="G150" s="43"/>
      <c r="H150" s="43"/>
      <c r="I150" s="43"/>
      <c r="J150" s="43"/>
      <c r="K150" s="43"/>
      <c r="L150" s="43"/>
      <c r="M150" s="43"/>
    </row>
    <row r="151" spans="2:13">
      <c r="B151" s="42"/>
      <c r="C151" s="42"/>
      <c r="D151" s="43"/>
      <c r="E151" s="43"/>
      <c r="F151" s="43"/>
      <c r="G151" s="43"/>
      <c r="H151" s="43"/>
      <c r="I151" s="43"/>
      <c r="J151" s="43"/>
      <c r="K151" s="43"/>
      <c r="L151" s="43"/>
      <c r="M151" s="43"/>
    </row>
    <row r="152" spans="2:13">
      <c r="B152" s="42"/>
      <c r="C152" s="42"/>
      <c r="D152" s="43"/>
      <c r="E152" s="43"/>
      <c r="F152" s="43"/>
      <c r="G152" s="43"/>
      <c r="H152" s="43"/>
      <c r="I152" s="43"/>
      <c r="J152" s="43"/>
      <c r="K152" s="43"/>
      <c r="L152" s="43"/>
      <c r="M152" s="43"/>
    </row>
    <row r="153" spans="2:13">
      <c r="B153" s="42"/>
      <c r="C153" s="42"/>
      <c r="D153" s="43"/>
      <c r="E153" s="43"/>
      <c r="F153" s="43"/>
      <c r="G153" s="43"/>
      <c r="H153" s="43"/>
      <c r="I153" s="43"/>
      <c r="J153" s="43"/>
      <c r="K153" s="43"/>
      <c r="L153" s="43"/>
      <c r="M153" s="43"/>
    </row>
    <row r="154" spans="2:13">
      <c r="B154" s="42"/>
      <c r="C154" s="42"/>
      <c r="D154" s="43"/>
      <c r="E154" s="43"/>
      <c r="F154" s="43"/>
      <c r="G154" s="43"/>
      <c r="H154" s="43"/>
      <c r="I154" s="43"/>
      <c r="J154" s="43"/>
      <c r="K154" s="43"/>
      <c r="L154" s="43"/>
      <c r="M154" s="43"/>
    </row>
    <row r="155" spans="2:13">
      <c r="B155" s="42"/>
      <c r="C155" s="42"/>
      <c r="D155" s="43"/>
      <c r="E155" s="43"/>
      <c r="F155" s="43"/>
      <c r="G155" s="43"/>
      <c r="H155" s="43"/>
      <c r="I155" s="43"/>
      <c r="J155" s="43"/>
      <c r="K155" s="43"/>
      <c r="L155" s="43"/>
      <c r="M155" s="43"/>
    </row>
    <row r="156" spans="2:13">
      <c r="B156" s="42"/>
      <c r="C156" s="42"/>
      <c r="D156" s="43"/>
      <c r="E156" s="43"/>
      <c r="F156" s="43"/>
      <c r="G156" s="43"/>
      <c r="H156" s="43"/>
      <c r="I156" s="43"/>
      <c r="J156" s="43"/>
      <c r="K156" s="43"/>
      <c r="L156" s="43"/>
      <c r="M156" s="43"/>
    </row>
    <row r="157" spans="2:13">
      <c r="B157" s="42"/>
      <c r="C157" s="42"/>
      <c r="D157" s="43"/>
      <c r="E157" s="43"/>
      <c r="F157" s="43"/>
      <c r="G157" s="43"/>
      <c r="H157" s="43"/>
      <c r="I157" s="43"/>
      <c r="J157" s="43"/>
      <c r="K157" s="43"/>
      <c r="L157" s="43"/>
      <c r="M157" s="43"/>
    </row>
    <row r="158" spans="2:13">
      <c r="B158" s="42"/>
      <c r="C158" s="42"/>
      <c r="D158" s="43"/>
      <c r="E158" s="43"/>
      <c r="F158" s="43"/>
      <c r="G158" s="43"/>
      <c r="H158" s="43"/>
      <c r="I158" s="43"/>
      <c r="J158" s="43"/>
      <c r="K158" s="43"/>
      <c r="L158" s="43"/>
      <c r="M158" s="43"/>
    </row>
    <row r="159" spans="2:13">
      <c r="B159" s="42"/>
      <c r="C159" s="42"/>
      <c r="D159" s="43"/>
      <c r="E159" s="43"/>
      <c r="F159" s="43"/>
      <c r="G159" s="43"/>
      <c r="H159" s="43"/>
      <c r="I159" s="43"/>
      <c r="J159" s="43"/>
      <c r="K159" s="43"/>
      <c r="L159" s="43"/>
      <c r="M159" s="43"/>
    </row>
    <row r="160" spans="2:13">
      <c r="B160" s="42"/>
      <c r="C160" s="42"/>
      <c r="D160" s="43"/>
      <c r="E160" s="43"/>
      <c r="F160" s="43"/>
      <c r="G160" s="43"/>
      <c r="H160" s="43"/>
      <c r="I160" s="43"/>
      <c r="J160" s="43"/>
      <c r="K160" s="43"/>
      <c r="L160" s="43"/>
      <c r="M160" s="43"/>
    </row>
    <row r="161" spans="2:13">
      <c r="B161" s="42"/>
      <c r="C161" s="42"/>
      <c r="D161" s="43"/>
      <c r="E161" s="43"/>
      <c r="F161" s="43"/>
      <c r="G161" s="43"/>
      <c r="H161" s="43"/>
      <c r="I161" s="43"/>
      <c r="J161" s="43"/>
      <c r="K161" s="43"/>
      <c r="L161" s="43"/>
      <c r="M161" s="43"/>
    </row>
    <row r="162" spans="2:13">
      <c r="B162" s="42"/>
      <c r="C162" s="42"/>
      <c r="D162" s="43"/>
      <c r="E162" s="43"/>
      <c r="F162" s="43"/>
      <c r="G162" s="43"/>
      <c r="H162" s="43"/>
      <c r="I162" s="43"/>
      <c r="J162" s="43"/>
      <c r="K162" s="43"/>
      <c r="L162" s="43"/>
      <c r="M162" s="43"/>
    </row>
    <row r="163" spans="2:13">
      <c r="B163" s="42"/>
      <c r="C163" s="42"/>
      <c r="D163" s="43"/>
      <c r="E163" s="43"/>
      <c r="F163" s="43"/>
      <c r="G163" s="43"/>
      <c r="H163" s="43"/>
      <c r="I163" s="43"/>
      <c r="J163" s="43"/>
      <c r="K163" s="43"/>
      <c r="L163" s="43"/>
      <c r="M163" s="43"/>
    </row>
    <row r="164" spans="2:13">
      <c r="B164" s="42"/>
      <c r="C164" s="42"/>
      <c r="D164" s="43"/>
      <c r="E164" s="43"/>
      <c r="F164" s="43"/>
      <c r="G164" s="43"/>
      <c r="H164" s="43"/>
      <c r="I164" s="43"/>
      <c r="J164" s="43"/>
      <c r="K164" s="43"/>
      <c r="L164" s="43"/>
      <c r="M164" s="43"/>
    </row>
    <row r="165" spans="2:13">
      <c r="B165" s="42"/>
      <c r="C165" s="42"/>
      <c r="D165" s="43"/>
      <c r="E165" s="43"/>
      <c r="F165" s="43"/>
      <c r="G165" s="43"/>
      <c r="H165" s="43"/>
      <c r="I165" s="43"/>
      <c r="J165" s="43"/>
      <c r="K165" s="43"/>
      <c r="L165" s="43"/>
      <c r="M165" s="43"/>
    </row>
    <row r="166" spans="2:13">
      <c r="B166" s="42"/>
      <c r="C166" s="42"/>
      <c r="D166" s="43"/>
      <c r="E166" s="43"/>
      <c r="F166" s="43"/>
      <c r="G166" s="43"/>
      <c r="H166" s="43"/>
      <c r="I166" s="43"/>
      <c r="J166" s="43"/>
      <c r="K166" s="43"/>
      <c r="L166" s="43"/>
      <c r="M166" s="43"/>
    </row>
    <row r="167" spans="2:13">
      <c r="B167" s="42"/>
      <c r="C167" s="42"/>
      <c r="D167" s="43"/>
      <c r="E167" s="43"/>
      <c r="F167" s="43"/>
      <c r="G167" s="43"/>
      <c r="H167" s="43"/>
      <c r="I167" s="43"/>
      <c r="J167" s="43"/>
      <c r="K167" s="43"/>
      <c r="L167" s="43"/>
      <c r="M167" s="43"/>
    </row>
    <row r="168" spans="2:13">
      <c r="B168" s="42"/>
      <c r="C168" s="42"/>
      <c r="D168" s="43"/>
      <c r="E168" s="43"/>
      <c r="F168" s="43"/>
      <c r="G168" s="43"/>
      <c r="H168" s="43"/>
      <c r="I168" s="43"/>
      <c r="J168" s="43"/>
      <c r="K168" s="43"/>
      <c r="L168" s="43"/>
      <c r="M168" s="43"/>
    </row>
    <row r="169" spans="2:13">
      <c r="B169" s="42"/>
      <c r="C169" s="42"/>
      <c r="D169" s="43"/>
      <c r="E169" s="43"/>
      <c r="F169" s="43"/>
      <c r="G169" s="43"/>
      <c r="H169" s="43"/>
      <c r="I169" s="43"/>
      <c r="J169" s="43"/>
      <c r="K169" s="43"/>
      <c r="L169" s="43"/>
      <c r="M169" s="43"/>
    </row>
    <row r="170" spans="2:13">
      <c r="B170" s="42"/>
      <c r="C170" s="42"/>
      <c r="D170" s="43"/>
      <c r="E170" s="43"/>
      <c r="F170" s="43"/>
      <c r="G170" s="43"/>
      <c r="H170" s="43"/>
      <c r="I170" s="43"/>
      <c r="J170" s="43"/>
      <c r="K170" s="43"/>
      <c r="L170" s="43"/>
      <c r="M170" s="43"/>
    </row>
    <row r="171" spans="2:13">
      <c r="B171" s="42"/>
      <c r="C171" s="42"/>
      <c r="D171" s="43"/>
      <c r="E171" s="43"/>
      <c r="F171" s="43"/>
      <c r="G171" s="43"/>
      <c r="H171" s="43"/>
      <c r="I171" s="43"/>
      <c r="J171" s="43"/>
      <c r="K171" s="43"/>
      <c r="L171" s="43"/>
      <c r="M171" s="43"/>
    </row>
    <row r="172" spans="2:13">
      <c r="B172" s="42"/>
      <c r="C172" s="42"/>
      <c r="D172" s="43"/>
      <c r="E172" s="43"/>
      <c r="F172" s="43"/>
      <c r="G172" s="43"/>
      <c r="H172" s="43"/>
      <c r="I172" s="43"/>
      <c r="J172" s="43"/>
      <c r="K172" s="43"/>
      <c r="L172" s="43"/>
      <c r="M172" s="43"/>
    </row>
    <row r="173" spans="2:13">
      <c r="B173" s="42"/>
      <c r="C173" s="42"/>
      <c r="D173" s="43"/>
      <c r="E173" s="43"/>
      <c r="F173" s="43"/>
      <c r="G173" s="43"/>
      <c r="H173" s="43"/>
      <c r="I173" s="43"/>
      <c r="J173" s="43"/>
      <c r="K173" s="43"/>
      <c r="L173" s="43"/>
      <c r="M173" s="43"/>
    </row>
    <row r="174" spans="2:13">
      <c r="B174" s="42"/>
      <c r="C174" s="42"/>
      <c r="D174" s="43"/>
      <c r="E174" s="43"/>
      <c r="F174" s="43"/>
      <c r="G174" s="43"/>
      <c r="H174" s="43"/>
      <c r="I174" s="43"/>
      <c r="J174" s="43"/>
      <c r="K174" s="43"/>
      <c r="L174" s="43"/>
      <c r="M174" s="43"/>
    </row>
    <row r="175" spans="2:13">
      <c r="B175" s="42"/>
      <c r="C175" s="42"/>
      <c r="D175" s="43"/>
      <c r="E175" s="43"/>
      <c r="F175" s="43"/>
      <c r="G175" s="43"/>
      <c r="H175" s="43"/>
      <c r="I175" s="43"/>
      <c r="J175" s="43"/>
      <c r="K175" s="43"/>
      <c r="L175" s="43"/>
      <c r="M175" s="43"/>
    </row>
    <row r="176" spans="2:13">
      <c r="B176" s="42"/>
      <c r="C176" s="42"/>
      <c r="D176" s="43"/>
      <c r="E176" s="43"/>
      <c r="F176" s="43"/>
      <c r="G176" s="43"/>
      <c r="H176" s="43"/>
      <c r="I176" s="43"/>
      <c r="J176" s="43"/>
      <c r="K176" s="43"/>
      <c r="L176" s="43"/>
      <c r="M176" s="43"/>
    </row>
    <row r="177" spans="2:13">
      <c r="B177" s="42"/>
      <c r="C177" s="42"/>
      <c r="D177" s="43"/>
      <c r="E177" s="43"/>
      <c r="F177" s="43"/>
      <c r="G177" s="43"/>
      <c r="H177" s="43"/>
      <c r="I177" s="43"/>
      <c r="J177" s="43"/>
      <c r="K177" s="43"/>
      <c r="L177" s="43"/>
      <c r="M177" s="43"/>
    </row>
    <row r="178" spans="2:13">
      <c r="B178" s="42"/>
      <c r="C178" s="42"/>
      <c r="D178" s="43"/>
      <c r="E178" s="43"/>
      <c r="F178" s="43"/>
      <c r="G178" s="43"/>
      <c r="H178" s="43"/>
      <c r="I178" s="43"/>
      <c r="J178" s="43"/>
      <c r="K178" s="43"/>
      <c r="L178" s="43"/>
      <c r="M178" s="43"/>
    </row>
    <row r="179" spans="2:13">
      <c r="B179" s="42"/>
      <c r="C179" s="42"/>
      <c r="D179" s="43"/>
      <c r="E179" s="43"/>
      <c r="F179" s="43"/>
      <c r="G179" s="43"/>
      <c r="H179" s="43"/>
      <c r="I179" s="43"/>
      <c r="J179" s="43"/>
      <c r="K179" s="43"/>
      <c r="L179" s="43"/>
      <c r="M179" s="43"/>
    </row>
    <row r="180" spans="2:13">
      <c r="B180" s="42"/>
      <c r="C180" s="42"/>
      <c r="D180" s="43"/>
      <c r="E180" s="43"/>
      <c r="F180" s="43"/>
      <c r="G180" s="43"/>
      <c r="H180" s="43"/>
      <c r="I180" s="43"/>
      <c r="J180" s="43"/>
      <c r="K180" s="43"/>
      <c r="L180" s="43"/>
      <c r="M180" s="43"/>
    </row>
    <row r="181" spans="2:13">
      <c r="B181" s="42"/>
      <c r="C181" s="42"/>
      <c r="D181" s="43"/>
      <c r="E181" s="43"/>
      <c r="F181" s="43"/>
      <c r="G181" s="43"/>
      <c r="H181" s="43"/>
      <c r="I181" s="43"/>
      <c r="J181" s="43"/>
      <c r="K181" s="43"/>
      <c r="L181" s="43"/>
      <c r="M181" s="43"/>
    </row>
    <row r="182" spans="2:13">
      <c r="B182" s="42"/>
      <c r="C182" s="42"/>
      <c r="D182" s="43"/>
      <c r="E182" s="43"/>
      <c r="F182" s="43"/>
      <c r="G182" s="43"/>
      <c r="H182" s="43"/>
      <c r="I182" s="43"/>
      <c r="J182" s="43"/>
      <c r="K182" s="43"/>
      <c r="L182" s="43"/>
      <c r="M182" s="43"/>
    </row>
    <row r="183" spans="2:13">
      <c r="B183" s="42"/>
      <c r="C183" s="42"/>
      <c r="D183" s="43"/>
      <c r="E183" s="43"/>
      <c r="F183" s="43"/>
      <c r="G183" s="43"/>
      <c r="H183" s="43"/>
      <c r="I183" s="43"/>
      <c r="J183" s="43"/>
      <c r="K183" s="43"/>
      <c r="L183" s="43"/>
      <c r="M183" s="43"/>
    </row>
    <row r="184" spans="2:13">
      <c r="B184" s="42"/>
      <c r="C184" s="42"/>
      <c r="D184" s="43"/>
      <c r="E184" s="43"/>
      <c r="F184" s="43"/>
      <c r="G184" s="43"/>
      <c r="H184" s="43"/>
      <c r="I184" s="43"/>
      <c r="J184" s="43"/>
      <c r="K184" s="43"/>
      <c r="L184" s="43"/>
      <c r="M184" s="43"/>
    </row>
    <row r="185" spans="2:13">
      <c r="B185" s="42"/>
      <c r="C185" s="42"/>
      <c r="D185" s="43"/>
      <c r="E185" s="43"/>
      <c r="F185" s="43"/>
      <c r="G185" s="43"/>
      <c r="H185" s="43"/>
      <c r="I185" s="43"/>
      <c r="J185" s="43"/>
      <c r="K185" s="43"/>
      <c r="L185" s="43"/>
      <c r="M185" s="43"/>
    </row>
    <row r="186" spans="2:13">
      <c r="B186" s="42"/>
      <c r="C186" s="42"/>
      <c r="D186" s="43"/>
      <c r="E186" s="43"/>
      <c r="F186" s="43"/>
      <c r="G186" s="43"/>
      <c r="H186" s="43"/>
      <c r="I186" s="43"/>
      <c r="J186" s="43"/>
      <c r="K186" s="43"/>
      <c r="L186" s="43"/>
      <c r="M186" s="43"/>
    </row>
    <row r="187" spans="2:13">
      <c r="B187" s="42"/>
      <c r="C187" s="42"/>
      <c r="D187" s="43"/>
      <c r="E187" s="43"/>
      <c r="F187" s="43"/>
      <c r="G187" s="43"/>
      <c r="H187" s="43"/>
      <c r="I187" s="43"/>
      <c r="J187" s="43"/>
      <c r="K187" s="43"/>
      <c r="L187" s="43"/>
      <c r="M187" s="43"/>
    </row>
    <row r="188" spans="2:13">
      <c r="B188" s="42"/>
      <c r="C188" s="42"/>
      <c r="D188" s="43"/>
      <c r="E188" s="43"/>
      <c r="F188" s="43"/>
      <c r="G188" s="43"/>
      <c r="H188" s="43"/>
      <c r="I188" s="43"/>
      <c r="J188" s="43"/>
      <c r="K188" s="43"/>
      <c r="L188" s="43"/>
      <c r="M188" s="43"/>
    </row>
    <row r="189" spans="2:13">
      <c r="B189" s="42"/>
      <c r="C189" s="42"/>
      <c r="D189" s="43"/>
      <c r="E189" s="43"/>
      <c r="F189" s="43"/>
      <c r="G189" s="43"/>
      <c r="H189" s="43"/>
      <c r="I189" s="43"/>
      <c r="J189" s="43"/>
      <c r="K189" s="43"/>
      <c r="L189" s="43"/>
      <c r="M189" s="43"/>
    </row>
    <row r="190" spans="2:13">
      <c r="B190" s="42"/>
      <c r="C190" s="42"/>
      <c r="D190" s="43"/>
      <c r="E190" s="43"/>
      <c r="F190" s="43"/>
      <c r="G190" s="43"/>
      <c r="H190" s="43"/>
      <c r="I190" s="43"/>
      <c r="J190" s="43"/>
      <c r="K190" s="43"/>
      <c r="L190" s="43"/>
      <c r="M190" s="43"/>
    </row>
    <row r="191" spans="2:13">
      <c r="B191" s="42"/>
      <c r="C191" s="42"/>
      <c r="D191" s="43"/>
      <c r="E191" s="43"/>
      <c r="F191" s="43"/>
      <c r="G191" s="43"/>
      <c r="H191" s="43"/>
      <c r="I191" s="43"/>
      <c r="J191" s="43"/>
      <c r="K191" s="43"/>
      <c r="L191" s="43"/>
      <c r="M191" s="43"/>
    </row>
    <row r="192" spans="2:13">
      <c r="B192" s="42"/>
      <c r="C192" s="42"/>
      <c r="D192" s="43"/>
      <c r="E192" s="43"/>
      <c r="F192" s="43"/>
      <c r="G192" s="43"/>
      <c r="H192" s="43"/>
      <c r="I192" s="43"/>
      <c r="J192" s="43"/>
      <c r="K192" s="43"/>
      <c r="L192" s="43"/>
      <c r="M192" s="43"/>
    </row>
    <row r="193" spans="2:13">
      <c r="B193" s="42"/>
      <c r="C193" s="42"/>
      <c r="D193" s="43"/>
      <c r="E193" s="43"/>
      <c r="F193" s="43"/>
      <c r="G193" s="43"/>
      <c r="H193" s="43"/>
      <c r="I193" s="43"/>
      <c r="J193" s="43"/>
      <c r="K193" s="43"/>
      <c r="L193" s="43"/>
      <c r="M193" s="43"/>
    </row>
    <row r="194" spans="2:13">
      <c r="B194" s="42"/>
      <c r="C194" s="42"/>
      <c r="D194" s="43"/>
      <c r="E194" s="43"/>
      <c r="F194" s="43"/>
      <c r="G194" s="43"/>
      <c r="H194" s="43"/>
      <c r="I194" s="43"/>
      <c r="J194" s="43"/>
      <c r="K194" s="43"/>
      <c r="L194" s="43"/>
      <c r="M194" s="43"/>
    </row>
    <row r="195" spans="2:13">
      <c r="B195" s="42"/>
      <c r="C195" s="42"/>
      <c r="D195" s="43"/>
      <c r="E195" s="43"/>
      <c r="F195" s="43"/>
      <c r="G195" s="43"/>
      <c r="H195" s="43"/>
      <c r="I195" s="43"/>
      <c r="J195" s="43"/>
      <c r="K195" s="43"/>
      <c r="L195" s="43"/>
      <c r="M195" s="43"/>
    </row>
    <row r="196" spans="2:13">
      <c r="B196" s="42"/>
      <c r="C196" s="42"/>
      <c r="D196" s="43"/>
      <c r="E196" s="43"/>
      <c r="F196" s="43"/>
      <c r="G196" s="43"/>
      <c r="H196" s="43"/>
      <c r="I196" s="43"/>
      <c r="J196" s="43"/>
      <c r="K196" s="43"/>
      <c r="L196" s="43"/>
      <c r="M196" s="43"/>
    </row>
    <row r="197" spans="2:13">
      <c r="B197" s="42"/>
      <c r="C197" s="42"/>
      <c r="D197" s="43"/>
      <c r="E197" s="43"/>
      <c r="F197" s="43"/>
      <c r="G197" s="43"/>
      <c r="H197" s="43"/>
      <c r="I197" s="43"/>
      <c r="J197" s="43"/>
      <c r="K197" s="43"/>
      <c r="L197" s="43"/>
      <c r="M197" s="43"/>
    </row>
    <row r="198" spans="2:13">
      <c r="B198" s="42"/>
      <c r="C198" s="42"/>
      <c r="D198" s="43"/>
      <c r="E198" s="43"/>
      <c r="F198" s="43"/>
      <c r="G198" s="43"/>
      <c r="H198" s="43"/>
      <c r="I198" s="43"/>
      <c r="J198" s="43"/>
      <c r="K198" s="43"/>
      <c r="L198" s="43"/>
      <c r="M198" s="43"/>
    </row>
    <row r="199" spans="2:13">
      <c r="B199" s="42"/>
      <c r="C199" s="42"/>
      <c r="D199" s="43"/>
      <c r="E199" s="43"/>
      <c r="F199" s="43"/>
      <c r="G199" s="43"/>
      <c r="H199" s="43"/>
      <c r="I199" s="43"/>
      <c r="J199" s="43"/>
      <c r="K199" s="43"/>
      <c r="L199" s="43"/>
      <c r="M199" s="43"/>
    </row>
    <row r="200" spans="2:13">
      <c r="B200" s="42"/>
      <c r="C200" s="42"/>
      <c r="D200" s="43"/>
      <c r="E200" s="43"/>
      <c r="F200" s="43"/>
      <c r="G200" s="43"/>
      <c r="H200" s="43"/>
      <c r="I200" s="43"/>
      <c r="J200" s="43"/>
      <c r="K200" s="43"/>
      <c r="L200" s="43"/>
      <c r="M200" s="43"/>
    </row>
    <row r="201" spans="2:13">
      <c r="B201" s="42"/>
      <c r="C201" s="42"/>
      <c r="D201" s="43"/>
      <c r="E201" s="43"/>
      <c r="F201" s="43"/>
      <c r="G201" s="43"/>
      <c r="H201" s="43"/>
      <c r="I201" s="43"/>
      <c r="J201" s="43"/>
      <c r="K201" s="43"/>
      <c r="L201" s="43"/>
      <c r="M201" s="43"/>
    </row>
    <row r="202" spans="2:13">
      <c r="B202" s="42"/>
      <c r="C202" s="42"/>
      <c r="D202" s="43"/>
      <c r="E202" s="43"/>
      <c r="F202" s="43"/>
      <c r="G202" s="43"/>
      <c r="H202" s="43"/>
      <c r="I202" s="43"/>
      <c r="J202" s="43"/>
      <c r="K202" s="43"/>
      <c r="L202" s="43"/>
      <c r="M202" s="43"/>
    </row>
    <row r="203" spans="2:13">
      <c r="B203" s="42"/>
      <c r="C203" s="42"/>
      <c r="D203" s="43"/>
      <c r="E203" s="43"/>
      <c r="F203" s="43"/>
      <c r="G203" s="43"/>
      <c r="H203" s="43"/>
      <c r="I203" s="43"/>
      <c r="J203" s="43"/>
      <c r="K203" s="43"/>
      <c r="L203" s="43"/>
      <c r="M203" s="43"/>
    </row>
    <row r="204" spans="2:13">
      <c r="B204" s="42"/>
      <c r="C204" s="42"/>
      <c r="D204" s="43"/>
      <c r="E204" s="43"/>
      <c r="F204" s="43"/>
      <c r="G204" s="43"/>
      <c r="H204" s="43"/>
      <c r="I204" s="43"/>
      <c r="J204" s="43"/>
      <c r="K204" s="43"/>
      <c r="L204" s="43"/>
      <c r="M204" s="43"/>
    </row>
    <row r="205" spans="2:13">
      <c r="B205" s="42"/>
      <c r="C205" s="42"/>
      <c r="D205" s="43"/>
      <c r="E205" s="43"/>
      <c r="F205" s="43"/>
      <c r="G205" s="43"/>
      <c r="H205" s="43"/>
      <c r="I205" s="43"/>
      <c r="J205" s="43"/>
      <c r="K205" s="43"/>
      <c r="L205" s="43"/>
      <c r="M205" s="43"/>
    </row>
    <row r="206" spans="2:13">
      <c r="B206" s="42"/>
      <c r="C206" s="42"/>
      <c r="D206" s="43"/>
      <c r="E206" s="43"/>
      <c r="F206" s="43"/>
      <c r="G206" s="43"/>
      <c r="H206" s="43"/>
      <c r="I206" s="43"/>
      <c r="J206" s="43"/>
      <c r="K206" s="43"/>
      <c r="L206" s="43"/>
      <c r="M206" s="43"/>
    </row>
    <row r="207" spans="2:13">
      <c r="B207" s="42"/>
      <c r="C207" s="42"/>
      <c r="D207" s="43"/>
      <c r="E207" s="43"/>
      <c r="F207" s="43"/>
      <c r="G207" s="43"/>
      <c r="H207" s="43"/>
      <c r="I207" s="43"/>
      <c r="J207" s="43"/>
      <c r="K207" s="43"/>
      <c r="L207" s="43"/>
      <c r="M207" s="43"/>
    </row>
    <row r="208" spans="2:13">
      <c r="B208" s="42"/>
      <c r="C208" s="42"/>
      <c r="D208" s="43"/>
      <c r="E208" s="43"/>
      <c r="F208" s="43"/>
      <c r="G208" s="43"/>
      <c r="H208" s="43"/>
      <c r="I208" s="43"/>
      <c r="J208" s="43"/>
      <c r="K208" s="43"/>
      <c r="L208" s="43"/>
      <c r="M208" s="43"/>
    </row>
    <row r="209" spans="2:13">
      <c r="B209" s="42"/>
      <c r="C209" s="42"/>
      <c r="D209" s="43"/>
      <c r="E209" s="43"/>
      <c r="F209" s="43"/>
      <c r="G209" s="43"/>
      <c r="H209" s="43"/>
      <c r="I209" s="43"/>
      <c r="J209" s="43"/>
      <c r="K209" s="43"/>
      <c r="L209" s="43"/>
      <c r="M209" s="43"/>
    </row>
    <row r="210" spans="2:13">
      <c r="B210" s="42"/>
      <c r="C210" s="42"/>
      <c r="D210" s="43"/>
      <c r="E210" s="43"/>
      <c r="F210" s="43"/>
      <c r="G210" s="43"/>
      <c r="H210" s="43"/>
      <c r="I210" s="43"/>
      <c r="J210" s="43"/>
      <c r="K210" s="43"/>
      <c r="L210" s="43"/>
      <c r="M210" s="43"/>
    </row>
    <row r="211" spans="2:13">
      <c r="B211" s="42"/>
      <c r="C211" s="42"/>
      <c r="D211" s="43"/>
      <c r="E211" s="43"/>
      <c r="F211" s="43"/>
      <c r="G211" s="43"/>
      <c r="H211" s="43"/>
      <c r="I211" s="43"/>
      <c r="J211" s="43"/>
      <c r="K211" s="43"/>
      <c r="L211" s="43"/>
      <c r="M211" s="43"/>
    </row>
    <row r="212" spans="2:13">
      <c r="B212" s="42"/>
      <c r="C212" s="42"/>
      <c r="D212" s="43"/>
      <c r="E212" s="43"/>
      <c r="F212" s="43"/>
      <c r="G212" s="43"/>
      <c r="H212" s="43"/>
      <c r="I212" s="43"/>
      <c r="J212" s="43"/>
      <c r="K212" s="43"/>
      <c r="L212" s="43"/>
      <c r="M212" s="43"/>
    </row>
    <row r="213" spans="2:13">
      <c r="B213" s="42"/>
      <c r="C213" s="42"/>
      <c r="D213" s="43"/>
      <c r="E213" s="43"/>
      <c r="F213" s="43"/>
      <c r="G213" s="43"/>
      <c r="H213" s="43"/>
      <c r="I213" s="43"/>
      <c r="J213" s="43"/>
      <c r="K213" s="43"/>
      <c r="L213" s="43"/>
      <c r="M213" s="43"/>
    </row>
    <row r="214" spans="2:13">
      <c r="B214" s="42"/>
      <c r="C214" s="42"/>
      <c r="D214" s="43"/>
      <c r="E214" s="43"/>
      <c r="F214" s="43"/>
      <c r="G214" s="43"/>
      <c r="H214" s="43"/>
      <c r="I214" s="43"/>
      <c r="J214" s="43"/>
      <c r="K214" s="43"/>
      <c r="L214" s="43"/>
      <c r="M214" s="43"/>
    </row>
    <row r="215" spans="2:13">
      <c r="B215" s="42"/>
      <c r="C215" s="42"/>
      <c r="D215" s="43"/>
      <c r="E215" s="43"/>
      <c r="F215" s="43"/>
      <c r="G215" s="43"/>
      <c r="H215" s="43"/>
      <c r="I215" s="43"/>
      <c r="J215" s="43"/>
      <c r="K215" s="43"/>
      <c r="L215" s="43"/>
      <c r="M215" s="43"/>
    </row>
    <row r="216" spans="2:13">
      <c r="B216" s="42"/>
      <c r="C216" s="42"/>
      <c r="D216" s="43"/>
      <c r="E216" s="43"/>
      <c r="F216" s="43"/>
      <c r="G216" s="43"/>
      <c r="H216" s="43"/>
      <c r="I216" s="43"/>
      <c r="J216" s="43"/>
      <c r="K216" s="43"/>
      <c r="L216" s="43"/>
      <c r="M216" s="43"/>
    </row>
    <row r="217" spans="2:13">
      <c r="B217" s="42"/>
      <c r="C217" s="42"/>
      <c r="D217" s="43"/>
      <c r="E217" s="43"/>
      <c r="F217" s="43"/>
      <c r="G217" s="43"/>
      <c r="H217" s="43"/>
      <c r="I217" s="43"/>
      <c r="J217" s="43"/>
      <c r="K217" s="43"/>
      <c r="L217" s="43"/>
      <c r="M217" s="43"/>
    </row>
    <row r="218" spans="2:13">
      <c r="B218" s="42"/>
      <c r="C218" s="42"/>
      <c r="D218" s="43"/>
      <c r="E218" s="43"/>
      <c r="F218" s="43"/>
      <c r="G218" s="43"/>
      <c r="H218" s="43"/>
      <c r="I218" s="43"/>
      <c r="J218" s="43"/>
      <c r="K218" s="43"/>
      <c r="L218" s="43"/>
      <c r="M218" s="43"/>
    </row>
    <row r="219" spans="2:13">
      <c r="B219" s="42"/>
      <c r="C219" s="42"/>
      <c r="D219" s="43"/>
      <c r="E219" s="43"/>
      <c r="F219" s="43"/>
      <c r="G219" s="43"/>
      <c r="H219" s="43"/>
      <c r="I219" s="43"/>
      <c r="J219" s="43"/>
      <c r="K219" s="43"/>
      <c r="L219" s="43"/>
      <c r="M219" s="43"/>
    </row>
    <row r="220" spans="2:13">
      <c r="B220" s="42"/>
      <c r="C220" s="42"/>
      <c r="D220" s="43"/>
      <c r="E220" s="43"/>
      <c r="F220" s="43"/>
      <c r="G220" s="43"/>
      <c r="H220" s="43"/>
      <c r="I220" s="43"/>
      <c r="J220" s="43"/>
      <c r="K220" s="43"/>
      <c r="L220" s="43"/>
      <c r="M220" s="43"/>
    </row>
    <row r="221" spans="2:13">
      <c r="B221" s="42"/>
      <c r="C221" s="42"/>
      <c r="D221" s="43"/>
      <c r="E221" s="43"/>
      <c r="F221" s="43"/>
      <c r="G221" s="43"/>
      <c r="H221" s="43"/>
      <c r="I221" s="43"/>
      <c r="J221" s="43"/>
      <c r="K221" s="43"/>
      <c r="L221" s="43"/>
      <c r="M221" s="43"/>
    </row>
    <row r="222" spans="2:13">
      <c r="B222" s="42"/>
      <c r="C222" s="42"/>
      <c r="D222" s="43"/>
      <c r="E222" s="43"/>
      <c r="F222" s="43"/>
      <c r="G222" s="43"/>
      <c r="H222" s="43"/>
      <c r="I222" s="43"/>
      <c r="J222" s="43"/>
      <c r="K222" s="43"/>
      <c r="L222" s="43"/>
      <c r="M222" s="43"/>
    </row>
    <row r="223" spans="2:13">
      <c r="B223" s="42"/>
      <c r="C223" s="42"/>
      <c r="D223" s="43"/>
      <c r="E223" s="43"/>
      <c r="F223" s="43"/>
      <c r="G223" s="43"/>
      <c r="H223" s="43"/>
      <c r="I223" s="43"/>
      <c r="J223" s="43"/>
      <c r="K223" s="43"/>
      <c r="L223" s="43"/>
      <c r="M223" s="43"/>
    </row>
    <row r="224" spans="2:13">
      <c r="B224" s="42"/>
      <c r="C224" s="42"/>
      <c r="D224" s="43"/>
      <c r="E224" s="43"/>
      <c r="F224" s="43"/>
      <c r="G224" s="43"/>
      <c r="H224" s="43"/>
      <c r="I224" s="43"/>
      <c r="J224" s="43"/>
      <c r="K224" s="43"/>
      <c r="L224" s="43"/>
      <c r="M224" s="43"/>
    </row>
    <row r="225" spans="2:13">
      <c r="B225" s="42"/>
      <c r="C225" s="42"/>
      <c r="D225" s="43"/>
      <c r="E225" s="43"/>
      <c r="F225" s="43"/>
      <c r="G225" s="43"/>
      <c r="H225" s="43"/>
      <c r="I225" s="43"/>
      <c r="J225" s="43"/>
      <c r="K225" s="43"/>
      <c r="L225" s="43"/>
      <c r="M225" s="43"/>
    </row>
    <row r="226" spans="2:13">
      <c r="B226" s="42"/>
      <c r="C226" s="42"/>
      <c r="D226" s="43"/>
      <c r="E226" s="43"/>
      <c r="F226" s="43"/>
      <c r="G226" s="43"/>
      <c r="H226" s="43"/>
      <c r="I226" s="43"/>
      <c r="J226" s="43"/>
      <c r="K226" s="43"/>
      <c r="L226" s="43"/>
      <c r="M226" s="43"/>
    </row>
    <row r="227" spans="2:13">
      <c r="B227" s="42"/>
      <c r="C227" s="42"/>
      <c r="D227" s="43"/>
      <c r="E227" s="43"/>
      <c r="F227" s="43"/>
      <c r="G227" s="43"/>
      <c r="H227" s="43"/>
      <c r="I227" s="43"/>
      <c r="J227" s="43"/>
      <c r="K227" s="43"/>
      <c r="L227" s="43"/>
      <c r="M227" s="43"/>
    </row>
    <row r="228" spans="2:13">
      <c r="B228" s="42"/>
      <c r="C228" s="42"/>
      <c r="D228" s="43"/>
      <c r="E228" s="43"/>
      <c r="F228" s="43"/>
      <c r="G228" s="43"/>
      <c r="H228" s="43"/>
      <c r="I228" s="43"/>
      <c r="J228" s="43"/>
      <c r="K228" s="43"/>
      <c r="L228" s="43"/>
      <c r="M228" s="43"/>
    </row>
    <row r="229" spans="2:13">
      <c r="B229" s="42"/>
      <c r="C229" s="42"/>
      <c r="D229" s="43"/>
      <c r="E229" s="43"/>
      <c r="F229" s="43"/>
      <c r="G229" s="43"/>
      <c r="H229" s="43"/>
      <c r="I229" s="43"/>
      <c r="J229" s="43"/>
      <c r="K229" s="43"/>
      <c r="L229" s="43"/>
      <c r="M229" s="43"/>
    </row>
    <row r="230" spans="2:13">
      <c r="B230" s="42"/>
      <c r="C230" s="42"/>
      <c r="D230" s="43"/>
      <c r="E230" s="43"/>
      <c r="F230" s="43"/>
      <c r="G230" s="43"/>
      <c r="H230" s="43"/>
      <c r="I230" s="43"/>
      <c r="J230" s="43"/>
      <c r="K230" s="43"/>
      <c r="L230" s="43"/>
      <c r="M230" s="43"/>
    </row>
    <row r="231" spans="2:13">
      <c r="B231" s="42"/>
      <c r="C231" s="42"/>
      <c r="D231" s="43"/>
      <c r="E231" s="43"/>
      <c r="F231" s="43"/>
      <c r="G231" s="43"/>
      <c r="H231" s="43"/>
      <c r="I231" s="43"/>
      <c r="J231" s="43"/>
      <c r="K231" s="43"/>
      <c r="L231" s="43"/>
      <c r="M231" s="43"/>
    </row>
    <row r="232" spans="2:13">
      <c r="B232" s="42"/>
      <c r="C232" s="42"/>
      <c r="D232" s="43"/>
      <c r="E232" s="43"/>
      <c r="F232" s="43"/>
      <c r="G232" s="43"/>
      <c r="H232" s="43"/>
      <c r="I232" s="43"/>
      <c r="J232" s="43"/>
      <c r="K232" s="43"/>
      <c r="L232" s="43"/>
      <c r="M232" s="43"/>
    </row>
    <row r="233" spans="2:13">
      <c r="B233" s="42"/>
      <c r="C233" s="42"/>
      <c r="D233" s="43"/>
      <c r="E233" s="43"/>
      <c r="F233" s="43"/>
      <c r="G233" s="43"/>
      <c r="H233" s="43"/>
      <c r="I233" s="43"/>
      <c r="J233" s="43"/>
      <c r="K233" s="43"/>
      <c r="L233" s="43"/>
      <c r="M233" s="43"/>
    </row>
    <row r="234" spans="2:13">
      <c r="B234" s="42"/>
      <c r="C234" s="42"/>
      <c r="D234" s="43"/>
      <c r="E234" s="43"/>
      <c r="F234" s="43"/>
      <c r="G234" s="43"/>
      <c r="H234" s="43"/>
      <c r="I234" s="43"/>
      <c r="J234" s="43"/>
      <c r="K234" s="43"/>
      <c r="L234" s="43"/>
      <c r="M234" s="43"/>
    </row>
    <row r="235" spans="2:13">
      <c r="B235" s="42"/>
      <c r="C235" s="42"/>
      <c r="D235" s="43"/>
      <c r="E235" s="43"/>
      <c r="F235" s="43"/>
      <c r="G235" s="43"/>
      <c r="H235" s="43"/>
      <c r="I235" s="43"/>
      <c r="J235" s="43"/>
      <c r="K235" s="43"/>
      <c r="L235" s="43"/>
      <c r="M235" s="43"/>
    </row>
    <row r="236" spans="2:13">
      <c r="B236" s="42"/>
      <c r="C236" s="42"/>
      <c r="D236" s="43"/>
      <c r="E236" s="43"/>
      <c r="F236" s="43"/>
      <c r="G236" s="43"/>
      <c r="H236" s="43"/>
      <c r="I236" s="43"/>
      <c r="J236" s="43"/>
      <c r="K236" s="43"/>
      <c r="L236" s="43"/>
      <c r="M236" s="43"/>
    </row>
    <row r="237" spans="2:13">
      <c r="B237" s="42"/>
      <c r="C237" s="42"/>
      <c r="D237" s="43"/>
      <c r="E237" s="43"/>
      <c r="F237" s="43"/>
      <c r="G237" s="43"/>
      <c r="H237" s="43"/>
      <c r="I237" s="43"/>
      <c r="J237" s="43"/>
      <c r="K237" s="43"/>
      <c r="L237" s="43"/>
      <c r="M237" s="43"/>
    </row>
    <row r="238" spans="2:13">
      <c r="B238" s="42"/>
      <c r="C238" s="42"/>
      <c r="D238" s="43"/>
      <c r="E238" s="43"/>
      <c r="F238" s="43"/>
      <c r="G238" s="43"/>
      <c r="H238" s="43"/>
      <c r="I238" s="43"/>
      <c r="J238" s="43"/>
      <c r="K238" s="43"/>
      <c r="L238" s="43"/>
      <c r="M238" s="43"/>
    </row>
    <row r="239" spans="2:13">
      <c r="B239" s="42"/>
      <c r="C239" s="42"/>
      <c r="D239" s="43"/>
      <c r="E239" s="43"/>
      <c r="F239" s="43"/>
      <c r="G239" s="43"/>
      <c r="H239" s="43"/>
      <c r="I239" s="43"/>
      <c r="J239" s="43"/>
      <c r="K239" s="43"/>
      <c r="L239" s="43"/>
      <c r="M239" s="43"/>
    </row>
    <row r="240" spans="2:13">
      <c r="B240" s="42"/>
      <c r="C240" s="42"/>
      <c r="D240" s="43"/>
      <c r="E240" s="43"/>
      <c r="F240" s="43"/>
      <c r="G240" s="43"/>
      <c r="H240" s="43"/>
      <c r="I240" s="43"/>
      <c r="J240" s="43"/>
      <c r="K240" s="43"/>
      <c r="L240" s="43"/>
      <c r="M240" s="43"/>
    </row>
    <row r="241" spans="2:13">
      <c r="B241" s="42"/>
      <c r="C241" s="42"/>
      <c r="D241" s="43"/>
      <c r="E241" s="43"/>
      <c r="F241" s="43"/>
      <c r="G241" s="43"/>
      <c r="H241" s="43"/>
      <c r="I241" s="43"/>
      <c r="J241" s="43"/>
      <c r="K241" s="43"/>
      <c r="L241" s="43"/>
      <c r="M241" s="43"/>
    </row>
    <row r="242" spans="2:13">
      <c r="B242" s="42"/>
      <c r="C242" s="42"/>
      <c r="D242" s="43"/>
      <c r="E242" s="43"/>
      <c r="F242" s="43"/>
      <c r="G242" s="43"/>
      <c r="H242" s="43"/>
      <c r="I242" s="43"/>
      <c r="J242" s="43"/>
      <c r="K242" s="43"/>
      <c r="L242" s="43"/>
      <c r="M242" s="43"/>
    </row>
    <row r="243" spans="2:13">
      <c r="B243" s="42"/>
      <c r="C243" s="42"/>
      <c r="D243" s="43"/>
      <c r="E243" s="43"/>
      <c r="F243" s="43"/>
      <c r="G243" s="43"/>
      <c r="H243" s="43"/>
      <c r="I243" s="43"/>
      <c r="J243" s="43"/>
      <c r="K243" s="43"/>
      <c r="L243" s="43"/>
      <c r="M243" s="43"/>
    </row>
    <row r="244" spans="2:13">
      <c r="B244" s="42"/>
      <c r="C244" s="42"/>
      <c r="D244" s="43"/>
      <c r="E244" s="43"/>
      <c r="F244" s="43"/>
      <c r="G244" s="43"/>
      <c r="H244" s="43"/>
      <c r="I244" s="43"/>
      <c r="J244" s="43"/>
      <c r="K244" s="43"/>
      <c r="L244" s="43"/>
      <c r="M244" s="43"/>
    </row>
    <row r="245" spans="2:13">
      <c r="B245" s="42"/>
      <c r="C245" s="42"/>
      <c r="D245" s="43"/>
      <c r="E245" s="43"/>
      <c r="F245" s="43"/>
      <c r="G245" s="43"/>
      <c r="H245" s="43"/>
      <c r="I245" s="43"/>
      <c r="J245" s="43"/>
      <c r="K245" s="43"/>
      <c r="L245" s="43"/>
      <c r="M245" s="43"/>
    </row>
    <row r="246" spans="2:13">
      <c r="B246" s="42"/>
      <c r="C246" s="42"/>
      <c r="D246" s="43"/>
      <c r="E246" s="43"/>
      <c r="F246" s="43"/>
      <c r="G246" s="43"/>
      <c r="H246" s="43"/>
      <c r="I246" s="43"/>
      <c r="J246" s="43"/>
      <c r="K246" s="43"/>
      <c r="L246" s="43"/>
      <c r="M246" s="43"/>
    </row>
    <row r="247" spans="2:13">
      <c r="B247" s="42"/>
      <c r="C247" s="42"/>
      <c r="D247" s="43"/>
      <c r="E247" s="43"/>
      <c r="F247" s="43"/>
      <c r="G247" s="43"/>
      <c r="H247" s="43"/>
      <c r="I247" s="43"/>
      <c r="J247" s="43"/>
      <c r="K247" s="43"/>
      <c r="L247" s="43"/>
      <c r="M247" s="43"/>
    </row>
    <row r="248" spans="2:13">
      <c r="B248" s="42"/>
      <c r="C248" s="42"/>
      <c r="D248" s="43"/>
      <c r="E248" s="43"/>
      <c r="F248" s="43"/>
      <c r="G248" s="43"/>
      <c r="H248" s="43"/>
      <c r="I248" s="43"/>
      <c r="J248" s="43"/>
      <c r="K248" s="43"/>
      <c r="L248" s="43"/>
      <c r="M248" s="43"/>
    </row>
    <row r="249" spans="2:13">
      <c r="B249" s="42"/>
      <c r="C249" s="42"/>
      <c r="D249" s="43"/>
      <c r="E249" s="43"/>
      <c r="F249" s="43"/>
      <c r="G249" s="43"/>
      <c r="H249" s="43"/>
      <c r="I249" s="43"/>
      <c r="J249" s="43"/>
      <c r="K249" s="43"/>
      <c r="L249" s="43"/>
      <c r="M249" s="43"/>
    </row>
    <row r="250" spans="2:13">
      <c r="B250" s="42"/>
      <c r="C250" s="42"/>
      <c r="D250" s="43"/>
      <c r="E250" s="43"/>
      <c r="F250" s="43"/>
      <c r="G250" s="43"/>
      <c r="H250" s="43"/>
      <c r="I250" s="43"/>
      <c r="J250" s="43"/>
      <c r="K250" s="43"/>
      <c r="L250" s="43"/>
      <c r="M250" s="43"/>
    </row>
    <row r="251" spans="2:13">
      <c r="B251" s="42"/>
      <c r="C251" s="42"/>
      <c r="D251" s="43"/>
      <c r="E251" s="43"/>
      <c r="F251" s="43"/>
      <c r="G251" s="43"/>
      <c r="H251" s="43"/>
      <c r="I251" s="43"/>
      <c r="J251" s="43"/>
      <c r="K251" s="43"/>
      <c r="L251" s="43"/>
      <c r="M251" s="43"/>
    </row>
    <row r="252" spans="2:13">
      <c r="B252" s="42"/>
      <c r="C252" s="42"/>
      <c r="D252" s="43"/>
      <c r="E252" s="43"/>
      <c r="F252" s="43"/>
      <c r="G252" s="43"/>
      <c r="H252" s="43"/>
      <c r="I252" s="43"/>
      <c r="J252" s="43"/>
      <c r="K252" s="43"/>
      <c r="L252" s="43"/>
      <c r="M252" s="43"/>
    </row>
    <row r="253" spans="2:13">
      <c r="B253" s="42"/>
      <c r="C253" s="42"/>
      <c r="D253" s="43"/>
      <c r="E253" s="43"/>
      <c r="F253" s="43"/>
      <c r="G253" s="43"/>
      <c r="H253" s="43"/>
      <c r="I253" s="43"/>
      <c r="J253" s="43"/>
      <c r="K253" s="43"/>
      <c r="L253" s="43"/>
      <c r="M253" s="43"/>
    </row>
    <row r="254" spans="2:13">
      <c r="B254" s="42"/>
      <c r="C254" s="42"/>
      <c r="D254" s="43"/>
      <c r="E254" s="43"/>
      <c r="F254" s="43"/>
      <c r="G254" s="43"/>
      <c r="H254" s="43"/>
      <c r="I254" s="43"/>
      <c r="J254" s="43"/>
      <c r="K254" s="43"/>
      <c r="L254" s="43"/>
      <c r="M254" s="43"/>
    </row>
    <row r="255" spans="2:13">
      <c r="B255" s="42"/>
      <c r="C255" s="42"/>
      <c r="D255" s="43"/>
      <c r="E255" s="43"/>
      <c r="F255" s="43"/>
      <c r="G255" s="43"/>
      <c r="H255" s="43"/>
      <c r="I255" s="43"/>
      <c r="J255" s="43"/>
      <c r="K255" s="43"/>
      <c r="L255" s="43"/>
      <c r="M255" s="43"/>
    </row>
    <row r="256" spans="2:13">
      <c r="B256" s="42"/>
      <c r="C256" s="42"/>
      <c r="D256" s="43"/>
      <c r="E256" s="43"/>
      <c r="F256" s="43"/>
      <c r="G256" s="43"/>
      <c r="H256" s="43"/>
      <c r="I256" s="43"/>
      <c r="J256" s="43"/>
      <c r="K256" s="43"/>
      <c r="L256" s="43"/>
      <c r="M256" s="43"/>
    </row>
    <row r="257" spans="2:13">
      <c r="B257" s="42"/>
      <c r="C257" s="42"/>
      <c r="D257" s="43"/>
      <c r="E257" s="43"/>
      <c r="F257" s="43"/>
      <c r="G257" s="43"/>
      <c r="H257" s="43"/>
      <c r="I257" s="43"/>
      <c r="J257" s="43"/>
      <c r="K257" s="43"/>
      <c r="L257" s="43"/>
      <c r="M257" s="43"/>
    </row>
    <row r="258" spans="2:13">
      <c r="B258" s="42"/>
      <c r="C258" s="42"/>
      <c r="D258" s="43"/>
      <c r="E258" s="43"/>
      <c r="F258" s="43"/>
      <c r="G258" s="43"/>
      <c r="H258" s="43"/>
      <c r="I258" s="43"/>
      <c r="J258" s="43"/>
      <c r="K258" s="43"/>
      <c r="L258" s="43"/>
      <c r="M258" s="43"/>
    </row>
    <row r="259" spans="2:13">
      <c r="B259" s="42"/>
      <c r="C259" s="42"/>
      <c r="D259" s="43"/>
      <c r="E259" s="43"/>
      <c r="F259" s="43"/>
      <c r="G259" s="43"/>
      <c r="H259" s="43"/>
      <c r="I259" s="43"/>
      <c r="J259" s="43"/>
      <c r="K259" s="43"/>
      <c r="L259" s="43"/>
      <c r="M259" s="43"/>
    </row>
    <row r="260" spans="2:13">
      <c r="B260" s="42"/>
      <c r="C260" s="42"/>
      <c r="D260" s="43"/>
      <c r="E260" s="43"/>
      <c r="F260" s="43"/>
      <c r="G260" s="43"/>
      <c r="H260" s="43"/>
      <c r="I260" s="43"/>
      <c r="J260" s="43"/>
      <c r="K260" s="43"/>
      <c r="L260" s="43"/>
      <c r="M260" s="43"/>
    </row>
    <row r="261" spans="2:13">
      <c r="B261" s="42"/>
      <c r="C261" s="42"/>
      <c r="D261" s="43"/>
      <c r="E261" s="43"/>
      <c r="F261" s="43"/>
      <c r="G261" s="43"/>
      <c r="H261" s="43"/>
      <c r="I261" s="43"/>
      <c r="J261" s="43"/>
      <c r="K261" s="43"/>
      <c r="L261" s="43"/>
      <c r="M261" s="43"/>
    </row>
    <row r="262" spans="2:13">
      <c r="B262" s="42"/>
      <c r="C262" s="42"/>
      <c r="D262" s="43"/>
      <c r="E262" s="43"/>
      <c r="F262" s="43"/>
      <c r="G262" s="43"/>
      <c r="H262" s="43"/>
      <c r="I262" s="43"/>
      <c r="J262" s="43"/>
      <c r="K262" s="43"/>
      <c r="L262" s="43"/>
      <c r="M262" s="43"/>
    </row>
    <row r="263" spans="2:13">
      <c r="B263" s="42"/>
      <c r="C263" s="42"/>
      <c r="D263" s="43"/>
      <c r="E263" s="43"/>
      <c r="F263" s="43"/>
      <c r="G263" s="43"/>
      <c r="H263" s="43"/>
      <c r="I263" s="43"/>
      <c r="J263" s="43"/>
      <c r="K263" s="43"/>
      <c r="L263" s="43"/>
      <c r="M263" s="43"/>
    </row>
    <row r="264" spans="2:13">
      <c r="B264" s="42"/>
      <c r="C264" s="42"/>
      <c r="D264" s="43"/>
      <c r="E264" s="43"/>
      <c r="F264" s="43"/>
      <c r="G264" s="43"/>
      <c r="H264" s="43"/>
      <c r="I264" s="43"/>
      <c r="J264" s="43"/>
      <c r="K264" s="43"/>
      <c r="L264" s="43"/>
      <c r="M264" s="43"/>
    </row>
    <row r="265" spans="2:13">
      <c r="B265" s="42"/>
      <c r="C265" s="42"/>
      <c r="D265" s="43"/>
      <c r="E265" s="43"/>
      <c r="F265" s="43"/>
      <c r="G265" s="43"/>
      <c r="H265" s="43"/>
      <c r="I265" s="43"/>
      <c r="J265" s="43"/>
      <c r="K265" s="43"/>
      <c r="L265" s="43"/>
      <c r="M265" s="43"/>
    </row>
    <row r="266" spans="2:13">
      <c r="B266" s="42"/>
      <c r="C266" s="42"/>
      <c r="D266" s="43"/>
      <c r="E266" s="43"/>
      <c r="F266" s="43"/>
      <c r="G266" s="43"/>
      <c r="H266" s="43"/>
      <c r="I266" s="43"/>
      <c r="J266" s="43"/>
      <c r="K266" s="43"/>
      <c r="L266" s="43"/>
      <c r="M266" s="43"/>
    </row>
    <row r="267" spans="2:13">
      <c r="B267" s="42"/>
      <c r="C267" s="42"/>
      <c r="D267" s="43"/>
      <c r="E267" s="43"/>
      <c r="F267" s="43"/>
      <c r="G267" s="43"/>
      <c r="H267" s="43"/>
      <c r="I267" s="43"/>
      <c r="J267" s="43"/>
      <c r="K267" s="43"/>
      <c r="L267" s="43"/>
      <c r="M267" s="43"/>
    </row>
    <row r="268" spans="2:13">
      <c r="B268" s="42"/>
      <c r="C268" s="42"/>
      <c r="D268" s="43"/>
      <c r="E268" s="43"/>
      <c r="F268" s="43"/>
      <c r="G268" s="43"/>
      <c r="H268" s="43"/>
      <c r="I268" s="43"/>
      <c r="J268" s="43"/>
      <c r="K268" s="43"/>
      <c r="L268" s="43"/>
      <c r="M268" s="43"/>
    </row>
    <row r="269" spans="2:13">
      <c r="B269" s="42"/>
      <c r="C269" s="42"/>
      <c r="D269" s="43"/>
      <c r="E269" s="43"/>
      <c r="F269" s="43"/>
      <c r="G269" s="43"/>
      <c r="H269" s="43"/>
      <c r="I269" s="43"/>
      <c r="J269" s="43"/>
      <c r="K269" s="43"/>
      <c r="L269" s="43"/>
      <c r="M269" s="43"/>
    </row>
    <row r="270" spans="2:13">
      <c r="B270" s="42"/>
      <c r="C270" s="42"/>
      <c r="D270" s="43"/>
      <c r="E270" s="43"/>
      <c r="F270" s="43"/>
      <c r="G270" s="43"/>
      <c r="H270" s="43"/>
      <c r="I270" s="43"/>
      <c r="J270" s="43"/>
      <c r="K270" s="43"/>
      <c r="L270" s="43"/>
      <c r="M270" s="43"/>
    </row>
    <row r="271" spans="2:13">
      <c r="B271" s="42"/>
      <c r="C271" s="42"/>
      <c r="D271" s="43"/>
      <c r="E271" s="43"/>
      <c r="F271" s="43"/>
      <c r="G271" s="43"/>
      <c r="H271" s="43"/>
      <c r="I271" s="43"/>
      <c r="J271" s="43"/>
      <c r="K271" s="43"/>
      <c r="L271" s="43"/>
      <c r="M271" s="43"/>
    </row>
    <row r="272" spans="2:13">
      <c r="B272" s="42"/>
      <c r="C272" s="42"/>
      <c r="D272" s="43"/>
      <c r="E272" s="43"/>
      <c r="F272" s="43"/>
      <c r="G272" s="43"/>
      <c r="H272" s="43"/>
      <c r="I272" s="43"/>
      <c r="J272" s="43"/>
      <c r="K272" s="43"/>
      <c r="L272" s="43"/>
      <c r="M272" s="43"/>
    </row>
    <row r="273" spans="2:13">
      <c r="B273" s="42"/>
      <c r="C273" s="42"/>
      <c r="D273" s="43"/>
      <c r="E273" s="43"/>
      <c r="F273" s="43"/>
      <c r="G273" s="43"/>
      <c r="H273" s="43"/>
      <c r="I273" s="43"/>
      <c r="J273" s="43"/>
      <c r="K273" s="43"/>
      <c r="L273" s="43"/>
      <c r="M273" s="43"/>
    </row>
    <row r="274" spans="2:13">
      <c r="B274" s="42"/>
      <c r="C274" s="42"/>
      <c r="D274" s="43"/>
      <c r="E274" s="43"/>
      <c r="F274" s="43"/>
      <c r="G274" s="43"/>
      <c r="H274" s="43"/>
      <c r="I274" s="43"/>
      <c r="J274" s="43"/>
      <c r="K274" s="43"/>
      <c r="L274" s="43"/>
      <c r="M274" s="43"/>
    </row>
    <row r="275" spans="2:13">
      <c r="B275" s="42"/>
      <c r="C275" s="42"/>
      <c r="D275" s="43"/>
      <c r="E275" s="43"/>
      <c r="F275" s="43"/>
      <c r="G275" s="43"/>
      <c r="H275" s="43"/>
      <c r="I275" s="43"/>
      <c r="J275" s="43"/>
      <c r="K275" s="43"/>
      <c r="L275" s="43"/>
      <c r="M275" s="43"/>
    </row>
    <row r="276" spans="2:13">
      <c r="B276" s="42"/>
      <c r="C276" s="42"/>
      <c r="D276" s="43"/>
      <c r="E276" s="43"/>
      <c r="F276" s="43"/>
      <c r="G276" s="43"/>
      <c r="H276" s="43"/>
      <c r="I276" s="43"/>
      <c r="J276" s="43"/>
      <c r="K276" s="43"/>
      <c r="L276" s="43"/>
      <c r="M276" s="43"/>
    </row>
    <row r="277" spans="2:13">
      <c r="B277" s="42"/>
      <c r="C277" s="42"/>
      <c r="D277" s="43"/>
      <c r="E277" s="43"/>
      <c r="F277" s="43"/>
      <c r="G277" s="43"/>
      <c r="H277" s="43"/>
      <c r="I277" s="43"/>
      <c r="J277" s="43"/>
      <c r="K277" s="43"/>
      <c r="L277" s="43"/>
      <c r="M277" s="43"/>
    </row>
    <row r="278" spans="2:13">
      <c r="B278" s="42"/>
      <c r="C278" s="42"/>
      <c r="D278" s="43"/>
      <c r="E278" s="43"/>
      <c r="F278" s="43"/>
      <c r="G278" s="43"/>
      <c r="H278" s="43"/>
      <c r="I278" s="43"/>
      <c r="J278" s="43"/>
      <c r="K278" s="43"/>
      <c r="L278" s="43"/>
      <c r="M278" s="43"/>
    </row>
    <row r="279" spans="2:13">
      <c r="B279" s="42"/>
      <c r="C279" s="42"/>
      <c r="D279" s="43"/>
      <c r="E279" s="43"/>
      <c r="F279" s="43"/>
      <c r="G279" s="43"/>
      <c r="H279" s="43"/>
      <c r="I279" s="43"/>
      <c r="J279" s="43"/>
      <c r="K279" s="43"/>
      <c r="L279" s="43"/>
      <c r="M279" s="43"/>
    </row>
    <row r="280" spans="2:13">
      <c r="B280" s="42"/>
      <c r="C280" s="42"/>
      <c r="D280" s="43"/>
      <c r="E280" s="43"/>
      <c r="F280" s="43"/>
      <c r="G280" s="43"/>
      <c r="H280" s="43"/>
      <c r="I280" s="43"/>
      <c r="J280" s="43"/>
      <c r="K280" s="43"/>
      <c r="L280" s="43"/>
      <c r="M280" s="43"/>
    </row>
    <row r="281" spans="2:13">
      <c r="B281" s="42"/>
      <c r="C281" s="42"/>
      <c r="D281" s="43"/>
      <c r="E281" s="43"/>
      <c r="F281" s="43"/>
      <c r="G281" s="43"/>
      <c r="H281" s="43"/>
      <c r="I281" s="43"/>
      <c r="J281" s="43"/>
      <c r="K281" s="43"/>
      <c r="L281" s="43"/>
      <c r="M281" s="43"/>
    </row>
    <row r="282" spans="2:13">
      <c r="B282" s="42"/>
      <c r="C282" s="42"/>
      <c r="D282" s="43"/>
      <c r="E282" s="43"/>
      <c r="F282" s="43"/>
      <c r="G282" s="43"/>
      <c r="H282" s="43"/>
      <c r="I282" s="43"/>
      <c r="J282" s="43"/>
      <c r="K282" s="43"/>
      <c r="L282" s="43"/>
      <c r="M282" s="43"/>
    </row>
    <row r="283" spans="2:13">
      <c r="B283" s="42"/>
      <c r="C283" s="42"/>
      <c r="D283" s="43"/>
      <c r="E283" s="43"/>
      <c r="F283" s="43"/>
      <c r="G283" s="43"/>
      <c r="H283" s="43"/>
      <c r="I283" s="43"/>
      <c r="J283" s="43"/>
      <c r="K283" s="43"/>
      <c r="L283" s="43"/>
      <c r="M283" s="43"/>
    </row>
    <row r="284" spans="2:13">
      <c r="B284" s="42"/>
      <c r="C284" s="42"/>
      <c r="D284" s="43"/>
      <c r="E284" s="43"/>
      <c r="F284" s="43"/>
      <c r="G284" s="43"/>
      <c r="H284" s="43"/>
      <c r="I284" s="43"/>
      <c r="J284" s="43"/>
      <c r="K284" s="43"/>
      <c r="L284" s="43"/>
      <c r="M284" s="43"/>
    </row>
    <row r="285" spans="2:13">
      <c r="B285" s="42"/>
      <c r="C285" s="42"/>
      <c r="D285" s="43"/>
      <c r="E285" s="43"/>
      <c r="F285" s="43"/>
      <c r="G285" s="43"/>
      <c r="H285" s="43"/>
      <c r="I285" s="43"/>
      <c r="J285" s="43"/>
      <c r="K285" s="43"/>
      <c r="L285" s="43"/>
      <c r="M285" s="43"/>
    </row>
  </sheetData>
  <sheetProtection algorithmName="SHA-512" hashValue="QwQyYN7mjIbNQNz1OHIjA/qRdwPGlL6cDNz7J1j7/MieULHJmRwqjVrFgWzLP2YwfVgiRHfVyH1TvRk5m1Gh7A==" saltValue="rD4BEC7QzX+UW8n5fA2KHg==" spinCount="100000" sheet="1" objects="1" scenarios="1"/>
  <mergeCells count="26">
    <mergeCell ref="C17:L17"/>
    <mergeCell ref="C23:E23"/>
    <mergeCell ref="C24:E24"/>
    <mergeCell ref="C19:L19"/>
    <mergeCell ref="C21:E21"/>
    <mergeCell ref="I23:K23"/>
    <mergeCell ref="I22:K22"/>
    <mergeCell ref="I24:K24"/>
    <mergeCell ref="C22:E22"/>
    <mergeCell ref="I21:K21"/>
    <mergeCell ref="C20:F20"/>
    <mergeCell ref="I20:L20"/>
    <mergeCell ref="C13:D13"/>
    <mergeCell ref="E13:F13"/>
    <mergeCell ref="E15:F15"/>
    <mergeCell ref="C15:D15"/>
    <mergeCell ref="J15:L15"/>
    <mergeCell ref="B1:M1"/>
    <mergeCell ref="E11:F11"/>
    <mergeCell ref="C9:F9"/>
    <mergeCell ref="I9:L9"/>
    <mergeCell ref="C12:D12"/>
    <mergeCell ref="E12:F12"/>
    <mergeCell ref="B3:M3"/>
    <mergeCell ref="C7:L7"/>
    <mergeCell ref="C11:D11"/>
  </mergeCells>
  <pageMargins left="0.39370078740157483" right="0.19685039370078741" top="0.39370078740157483" bottom="0.19685039370078741" header="0" footer="0"/>
  <pageSetup scale="68"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88483FC-7683-476C-89AF-E38664C8D293}">
          <x14:formula1>
            <xm:f>SheetData!$H$24:$H$35</xm:f>
          </x14:formula1>
          <xm:sqref>K12:K13</xm:sqref>
        </x14:dataValidation>
        <x14:dataValidation type="list" allowBlank="1" showInputMessage="1" showErrorMessage="1" xr:uid="{7496AC98-0E68-4309-B01D-F2C7F96DC383}">
          <x14:formula1>
            <xm:f>SheetData!$J$24:$J$54</xm:f>
          </x14:formula1>
          <xm:sqref>J12:J13</xm:sqref>
        </x14:dataValidation>
        <x14:dataValidation type="list" allowBlank="1" showInputMessage="1" showErrorMessage="1" xr:uid="{3F93F35C-7E7E-43AA-9C6D-03EE3D535EBB}">
          <x14:formula1>
            <xm:f>SheetData!$I$24:$I$50</xm:f>
          </x14:formula1>
          <xm:sqref>G18 L12:L13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8CBA-9A0B-4390-83A5-6B76010EFA9D}">
  <sheetPr codeName="Sheet8">
    <tabColor theme="3"/>
    <pageSetUpPr fitToPage="1"/>
  </sheetPr>
  <dimension ref="B1:J29"/>
  <sheetViews>
    <sheetView showGridLines="0" zoomScale="80" zoomScaleNormal="80" workbookViewId="0">
      <pane ySplit="4" topLeftCell="A5" activePane="bottomLeft" state="frozen"/>
      <selection pane="bottomLeft"/>
    </sheetView>
  </sheetViews>
  <sheetFormatPr defaultColWidth="9.21875" defaultRowHeight="14.45"/>
  <cols>
    <col min="1" max="1" width="3.44140625" style="18" customWidth="1"/>
    <col min="2" max="2" width="8" style="30" customWidth="1"/>
    <col min="3" max="3" width="22.77734375" style="18" customWidth="1"/>
    <col min="4" max="4" width="51.5546875" style="18" customWidth="1"/>
    <col min="5" max="5" width="16.33203125" style="18" customWidth="1"/>
    <col min="6" max="6" width="12.109375" style="18" customWidth="1"/>
    <col min="7" max="7" width="14.21875" style="18" customWidth="1"/>
    <col min="8" max="9" width="14.33203125" style="18" customWidth="1"/>
    <col min="10" max="10" width="40.6640625" style="18" customWidth="1"/>
    <col min="11" max="16384" width="9.21875" style="18"/>
  </cols>
  <sheetData>
    <row r="1" spans="2:10" s="29" customFormat="1" ht="46.15" customHeight="1">
      <c r="B1" s="225" t="s">
        <v>209</v>
      </c>
      <c r="C1" s="225"/>
      <c r="D1" s="225"/>
      <c r="E1" s="225"/>
      <c r="F1" s="225"/>
      <c r="G1" s="225"/>
      <c r="H1" s="225"/>
      <c r="I1" s="225"/>
      <c r="J1" s="225"/>
    </row>
    <row r="2" spans="2:10" ht="11.65" customHeight="1"/>
    <row r="3" spans="2:10" ht="28.15" customHeight="1" thickBot="1">
      <c r="B3" s="315" t="s">
        <v>210</v>
      </c>
      <c r="C3" s="315"/>
      <c r="D3" s="315"/>
      <c r="E3" s="315"/>
      <c r="F3" s="315"/>
      <c r="G3" s="315"/>
      <c r="H3" s="315"/>
      <c r="I3" s="315"/>
      <c r="J3" s="315"/>
    </row>
    <row r="4" spans="2:10" s="31" customFormat="1" ht="55.15" customHeight="1" thickBot="1">
      <c r="B4" s="55" t="s">
        <v>145</v>
      </c>
      <c r="C4" s="56" t="s">
        <v>211</v>
      </c>
      <c r="D4" s="55" t="s">
        <v>212</v>
      </c>
      <c r="E4" s="55" t="s">
        <v>213</v>
      </c>
      <c r="F4" s="55" t="s">
        <v>214</v>
      </c>
      <c r="G4" s="55" t="s">
        <v>91</v>
      </c>
      <c r="H4" s="55" t="s">
        <v>215</v>
      </c>
      <c r="I4" s="55" t="s">
        <v>216</v>
      </c>
      <c r="J4" s="56" t="s">
        <v>217</v>
      </c>
    </row>
    <row r="5" spans="2:10" ht="35.25" customHeight="1" thickBot="1">
      <c r="B5" s="57">
        <v>1</v>
      </c>
      <c r="C5" s="58"/>
      <c r="D5" s="58"/>
      <c r="E5" s="58"/>
      <c r="F5" s="58"/>
      <c r="G5" s="58"/>
      <c r="H5" s="59"/>
      <c r="I5" s="59"/>
      <c r="J5" s="60"/>
    </row>
    <row r="6" spans="2:10" ht="35.25" customHeight="1" thickBot="1">
      <c r="B6" s="61">
        <v>2</v>
      </c>
      <c r="C6" s="58"/>
      <c r="D6" s="58"/>
      <c r="E6" s="58"/>
      <c r="F6" s="58"/>
      <c r="G6" s="58"/>
      <c r="H6" s="59"/>
      <c r="I6" s="59"/>
      <c r="J6" s="60"/>
    </row>
    <row r="7" spans="2:10" ht="35.25" customHeight="1" thickBot="1">
      <c r="B7" s="61">
        <v>3</v>
      </c>
      <c r="C7" s="58"/>
      <c r="D7" s="58"/>
      <c r="E7" s="58"/>
      <c r="F7" s="58"/>
      <c r="G7" s="58"/>
      <c r="H7" s="59"/>
      <c r="I7" s="59"/>
      <c r="J7" s="60"/>
    </row>
    <row r="8" spans="2:10" ht="35.25" customHeight="1" thickBot="1">
      <c r="B8" s="57">
        <v>4</v>
      </c>
      <c r="C8" s="58"/>
      <c r="D8" s="58"/>
      <c r="E8" s="58"/>
      <c r="F8" s="58"/>
      <c r="G8" s="58"/>
      <c r="H8" s="59"/>
      <c r="I8" s="59"/>
      <c r="J8" s="60"/>
    </row>
    <row r="9" spans="2:10" ht="35.25" customHeight="1" thickBot="1">
      <c r="B9" s="61">
        <v>5</v>
      </c>
      <c r="C9" s="58"/>
      <c r="D9" s="58"/>
      <c r="E9" s="58"/>
      <c r="F9" s="58"/>
      <c r="G9" s="58"/>
      <c r="H9" s="59"/>
      <c r="I9" s="59"/>
      <c r="J9" s="60"/>
    </row>
    <row r="10" spans="2:10" ht="35.25" customHeight="1" thickBot="1">
      <c r="B10" s="61">
        <v>6</v>
      </c>
      <c r="C10" s="58"/>
      <c r="D10" s="58"/>
      <c r="E10" s="58"/>
      <c r="F10" s="58"/>
      <c r="G10" s="58"/>
      <c r="H10" s="59"/>
      <c r="I10" s="59"/>
      <c r="J10" s="60"/>
    </row>
    <row r="11" spans="2:10" ht="35.25" customHeight="1" thickBot="1">
      <c r="B11" s="57">
        <v>7</v>
      </c>
      <c r="C11" s="58"/>
      <c r="D11" s="58"/>
      <c r="E11" s="58"/>
      <c r="F11" s="58"/>
      <c r="G11" s="58"/>
      <c r="H11" s="59"/>
      <c r="I11" s="59"/>
      <c r="J11" s="60"/>
    </row>
    <row r="12" spans="2:10" ht="35.25" customHeight="1" thickBot="1">
      <c r="B12" s="61">
        <v>8</v>
      </c>
      <c r="C12" s="58"/>
      <c r="D12" s="58"/>
      <c r="E12" s="58"/>
      <c r="F12" s="58"/>
      <c r="G12" s="58"/>
      <c r="H12" s="59"/>
      <c r="I12" s="59"/>
      <c r="J12" s="60"/>
    </row>
    <row r="13" spans="2:10" ht="35.25" customHeight="1" thickBot="1">
      <c r="B13" s="61">
        <v>9</v>
      </c>
      <c r="C13" s="58"/>
      <c r="D13" s="58"/>
      <c r="E13" s="58"/>
      <c r="F13" s="58"/>
      <c r="G13" s="58"/>
      <c r="H13" s="59"/>
      <c r="I13" s="59"/>
      <c r="J13" s="60"/>
    </row>
    <row r="14" spans="2:10" ht="35.25" customHeight="1" thickBot="1">
      <c r="B14" s="57">
        <v>10</v>
      </c>
      <c r="C14" s="58"/>
      <c r="D14" s="58"/>
      <c r="E14" s="58"/>
      <c r="F14" s="58"/>
      <c r="G14" s="58"/>
      <c r="H14" s="59"/>
      <c r="I14" s="59"/>
      <c r="J14" s="60"/>
    </row>
    <row r="15" spans="2:10" ht="35.25" customHeight="1" thickBot="1">
      <c r="B15" s="61">
        <v>11</v>
      </c>
      <c r="C15" s="58"/>
      <c r="D15" s="58"/>
      <c r="E15" s="58"/>
      <c r="F15" s="58"/>
      <c r="G15" s="58"/>
      <c r="H15" s="59"/>
      <c r="I15" s="59"/>
      <c r="J15" s="60"/>
    </row>
    <row r="16" spans="2:10" ht="35.25" customHeight="1" thickBot="1">
      <c r="B16" s="61">
        <v>12</v>
      </c>
      <c r="C16" s="58"/>
      <c r="D16" s="58"/>
      <c r="E16" s="58"/>
      <c r="F16" s="58"/>
      <c r="G16" s="58"/>
      <c r="H16" s="59"/>
      <c r="I16" s="59"/>
      <c r="J16" s="60"/>
    </row>
    <row r="17" spans="2:10" ht="35.25" customHeight="1" thickBot="1">
      <c r="B17" s="57">
        <v>13</v>
      </c>
      <c r="C17" s="58"/>
      <c r="D17" s="58"/>
      <c r="E17" s="58"/>
      <c r="F17" s="58"/>
      <c r="G17" s="58"/>
      <c r="H17" s="59"/>
      <c r="I17" s="59"/>
      <c r="J17" s="60"/>
    </row>
    <row r="18" spans="2:10" ht="35.25" customHeight="1" thickBot="1">
      <c r="B18" s="61">
        <v>14</v>
      </c>
      <c r="C18" s="58"/>
      <c r="D18" s="58"/>
      <c r="E18" s="58"/>
      <c r="F18" s="58"/>
      <c r="G18" s="58"/>
      <c r="H18" s="59"/>
      <c r="I18" s="59"/>
      <c r="J18" s="60"/>
    </row>
    <row r="19" spans="2:10" ht="35.25" customHeight="1" thickBot="1">
      <c r="B19" s="61">
        <v>15</v>
      </c>
      <c r="C19" s="58"/>
      <c r="D19" s="58"/>
      <c r="E19" s="58"/>
      <c r="F19" s="58"/>
      <c r="G19" s="58"/>
      <c r="H19" s="59"/>
      <c r="I19" s="59"/>
      <c r="J19" s="60"/>
    </row>
    <row r="20" spans="2:10" ht="35.25" customHeight="1" thickBot="1">
      <c r="B20" s="57">
        <v>16</v>
      </c>
      <c r="C20" s="58"/>
      <c r="D20" s="58"/>
      <c r="E20" s="58"/>
      <c r="F20" s="58"/>
      <c r="G20" s="58"/>
      <c r="H20" s="59"/>
      <c r="I20" s="59"/>
      <c r="J20" s="60"/>
    </row>
    <row r="21" spans="2:10" ht="35.25" customHeight="1" thickBot="1">
      <c r="B21" s="61">
        <v>17</v>
      </c>
      <c r="C21" s="58"/>
      <c r="D21" s="58"/>
      <c r="E21" s="58"/>
      <c r="F21" s="58"/>
      <c r="G21" s="58"/>
      <c r="H21" s="59"/>
      <c r="I21" s="59"/>
      <c r="J21" s="60"/>
    </row>
    <row r="22" spans="2:10" ht="35.25" customHeight="1" thickBot="1">
      <c r="B22" s="61">
        <v>18</v>
      </c>
      <c r="C22" s="58"/>
      <c r="D22" s="58"/>
      <c r="E22" s="58"/>
      <c r="F22" s="58"/>
      <c r="G22" s="58"/>
      <c r="H22" s="59"/>
      <c r="I22" s="59"/>
      <c r="J22" s="60"/>
    </row>
    <row r="23" spans="2:10" ht="35.25" customHeight="1" thickBot="1">
      <c r="B23" s="57">
        <v>19</v>
      </c>
      <c r="C23" s="58"/>
      <c r="D23" s="58"/>
      <c r="E23" s="58"/>
      <c r="F23" s="58"/>
      <c r="G23" s="58"/>
      <c r="H23" s="59"/>
      <c r="I23" s="59"/>
      <c r="J23" s="60"/>
    </row>
    <row r="24" spans="2:10" ht="35.25" customHeight="1" thickBot="1">
      <c r="B24" s="61">
        <v>20</v>
      </c>
      <c r="C24" s="58"/>
      <c r="D24" s="58"/>
      <c r="E24" s="58"/>
      <c r="F24" s="58"/>
      <c r="G24" s="58"/>
      <c r="H24" s="59"/>
      <c r="I24" s="59"/>
      <c r="J24" s="60"/>
    </row>
    <row r="25" spans="2:10" ht="35.25" customHeight="1" thickBot="1">
      <c r="B25" s="61">
        <v>21</v>
      </c>
      <c r="C25" s="58"/>
      <c r="D25" s="58"/>
      <c r="E25" s="58"/>
      <c r="F25" s="58"/>
      <c r="G25" s="58"/>
      <c r="H25" s="59"/>
      <c r="I25" s="59"/>
      <c r="J25" s="60"/>
    </row>
    <row r="26" spans="2:10" ht="35.25" customHeight="1" thickBot="1">
      <c r="B26" s="57">
        <v>22</v>
      </c>
      <c r="C26" s="58"/>
      <c r="D26" s="58"/>
      <c r="E26" s="58"/>
      <c r="F26" s="58"/>
      <c r="G26" s="58"/>
      <c r="H26" s="59"/>
      <c r="I26" s="59"/>
      <c r="J26" s="60"/>
    </row>
    <row r="27" spans="2:10" ht="35.25" customHeight="1" thickBot="1">
      <c r="B27" s="61">
        <v>23</v>
      </c>
      <c r="C27" s="58"/>
      <c r="D27" s="58"/>
      <c r="E27" s="58"/>
      <c r="F27" s="58"/>
      <c r="G27" s="58"/>
      <c r="H27" s="59"/>
      <c r="I27" s="59"/>
      <c r="J27" s="60"/>
    </row>
    <row r="28" spans="2:10" ht="35.25" customHeight="1" thickBot="1">
      <c r="B28" s="61">
        <v>24</v>
      </c>
      <c r="C28" s="58"/>
      <c r="D28" s="58"/>
      <c r="E28" s="58"/>
      <c r="F28" s="58"/>
      <c r="G28" s="58"/>
      <c r="H28" s="59"/>
      <c r="I28" s="59"/>
      <c r="J28" s="60"/>
    </row>
    <row r="29" spans="2:10" ht="35.25" customHeight="1" thickBot="1">
      <c r="B29" s="57">
        <v>25</v>
      </c>
      <c r="C29" s="62"/>
      <c r="D29" s="62"/>
      <c r="E29" s="62"/>
      <c r="F29" s="62"/>
      <c r="G29" s="62"/>
      <c r="H29" s="63"/>
      <c r="I29" s="63"/>
      <c r="J29" s="64"/>
    </row>
  </sheetData>
  <sheetProtection algorithmName="SHA-512" hashValue="sbpnIhZ1i7ZxS+fw4+sWEDTQvTCoFDoK6vSK8J8tFnkVP0Gy6p8On6/rf3HvTcMuhQmIvbAFHMdxtw+i81y7MQ==" saltValue="efS0+kzlBtAes1Vvn1613w==" spinCount="100000" sheet="1" objects="1" scenarios="1"/>
  <mergeCells count="2">
    <mergeCell ref="B1:J1"/>
    <mergeCell ref="B3:J3"/>
  </mergeCells>
  <dataValidations count="1">
    <dataValidation showInputMessage="1" showErrorMessage="1" sqref="D5:D29" xr:uid="{70F21985-4A84-42F4-9E17-6044FDB6B213}"/>
  </dataValidations>
  <pageMargins left="0.23622047244094491" right="0.19685039370078741" top="0.19685039370078741" bottom="0.19685039370078741" header="0" footer="0"/>
  <pageSetup paperSize="9" scale="57"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B5704-BB69-476F-AB56-4C3AA382FEDB}">
  <sheetPr codeName="Sheet9">
    <tabColor theme="9"/>
    <pageSetUpPr fitToPage="1"/>
  </sheetPr>
  <dimension ref="B1:D54"/>
  <sheetViews>
    <sheetView showGridLines="0" zoomScale="80" zoomScaleNormal="80" workbookViewId="0">
      <pane ySplit="4" topLeftCell="A5" activePane="bottomLeft" state="frozen"/>
      <selection pane="bottomLeft"/>
    </sheetView>
  </sheetViews>
  <sheetFormatPr defaultColWidth="9.21875" defaultRowHeight="14.45"/>
  <cols>
    <col min="1" max="1" width="3.44140625" style="18" customWidth="1"/>
    <col min="2" max="2" width="13.77734375" style="30" customWidth="1"/>
    <col min="3" max="4" width="51.5546875" style="18" customWidth="1"/>
    <col min="5" max="16384" width="9.21875" style="18"/>
  </cols>
  <sheetData>
    <row r="1" spans="2:4" s="29" customFormat="1" ht="46.15" customHeight="1">
      <c r="B1" s="225" t="s">
        <v>218</v>
      </c>
      <c r="C1" s="225"/>
      <c r="D1" s="225"/>
    </row>
    <row r="2" spans="2:4" ht="11.65" customHeight="1"/>
    <row r="3" spans="2:4" ht="112.5" customHeight="1" thickBot="1">
      <c r="B3" s="226" t="s">
        <v>219</v>
      </c>
      <c r="C3" s="316"/>
      <c r="D3" s="316"/>
    </row>
    <row r="4" spans="2:4" s="31" customFormat="1" ht="55.15" customHeight="1" thickBot="1">
      <c r="B4" s="49" t="s">
        <v>146</v>
      </c>
      <c r="C4" s="49" t="s">
        <v>220</v>
      </c>
      <c r="D4" s="49" t="s">
        <v>161</v>
      </c>
    </row>
    <row r="5" spans="2:4" ht="35.25" customHeight="1" thickBot="1">
      <c r="B5" s="32"/>
      <c r="C5" s="33"/>
      <c r="D5" s="33"/>
    </row>
    <row r="6" spans="2:4" ht="35.25" customHeight="1" thickBot="1">
      <c r="B6" s="32"/>
      <c r="C6" s="33"/>
      <c r="D6" s="33"/>
    </row>
    <row r="7" spans="2:4" ht="35.25" customHeight="1" thickBot="1">
      <c r="B7" s="32"/>
      <c r="C7" s="33"/>
      <c r="D7" s="33"/>
    </row>
    <row r="8" spans="2:4" ht="35.25" customHeight="1" thickBot="1">
      <c r="B8" s="32"/>
      <c r="C8" s="33"/>
      <c r="D8" s="33"/>
    </row>
    <row r="9" spans="2:4" ht="35.25" customHeight="1" thickBot="1">
      <c r="B9" s="32"/>
      <c r="C9" s="33"/>
      <c r="D9" s="33"/>
    </row>
    <row r="10" spans="2:4" ht="35.25" customHeight="1" thickBot="1">
      <c r="B10" s="32"/>
      <c r="C10" s="33"/>
      <c r="D10" s="33"/>
    </row>
    <row r="11" spans="2:4" ht="35.25" customHeight="1" thickBot="1">
      <c r="B11" s="32"/>
      <c r="C11" s="33"/>
      <c r="D11" s="33"/>
    </row>
    <row r="12" spans="2:4" ht="35.25" customHeight="1" thickBot="1">
      <c r="B12" s="32"/>
      <c r="C12" s="33"/>
      <c r="D12" s="33"/>
    </row>
    <row r="13" spans="2:4" ht="35.25" customHeight="1" thickBot="1">
      <c r="B13" s="32"/>
      <c r="C13" s="33"/>
      <c r="D13" s="33"/>
    </row>
    <row r="14" spans="2:4" ht="35.25" customHeight="1" thickBot="1">
      <c r="B14" s="32"/>
      <c r="C14" s="33"/>
      <c r="D14" s="33"/>
    </row>
    <row r="15" spans="2:4" ht="35.25" customHeight="1" thickBot="1">
      <c r="B15" s="32"/>
      <c r="C15" s="33"/>
      <c r="D15" s="33"/>
    </row>
    <row r="16" spans="2:4" ht="35.25" customHeight="1" thickBot="1">
      <c r="B16" s="32"/>
      <c r="C16" s="33"/>
      <c r="D16" s="33"/>
    </row>
    <row r="17" spans="2:4" ht="35.25" customHeight="1" thickBot="1">
      <c r="B17" s="32"/>
      <c r="C17" s="33"/>
      <c r="D17" s="33"/>
    </row>
    <row r="18" spans="2:4" ht="35.25" customHeight="1" thickBot="1">
      <c r="B18" s="32"/>
      <c r="C18" s="33"/>
      <c r="D18" s="33"/>
    </row>
    <row r="19" spans="2:4" ht="35.25" customHeight="1" thickBot="1">
      <c r="B19" s="32"/>
      <c r="C19" s="33"/>
      <c r="D19" s="33"/>
    </row>
    <row r="20" spans="2:4" ht="35.25" customHeight="1" thickBot="1">
      <c r="B20" s="32"/>
      <c r="C20" s="33"/>
      <c r="D20" s="33"/>
    </row>
    <row r="21" spans="2:4" ht="35.25" customHeight="1" thickBot="1">
      <c r="B21" s="32"/>
      <c r="C21" s="33"/>
      <c r="D21" s="33"/>
    </row>
    <row r="22" spans="2:4" ht="35.25" customHeight="1" thickBot="1">
      <c r="B22" s="32"/>
      <c r="C22" s="33"/>
      <c r="D22" s="33"/>
    </row>
    <row r="23" spans="2:4" ht="35.25" customHeight="1" thickBot="1">
      <c r="B23" s="32"/>
      <c r="C23" s="33"/>
      <c r="D23" s="33"/>
    </row>
    <row r="24" spans="2:4" ht="35.25" customHeight="1" thickBot="1">
      <c r="B24" s="32"/>
      <c r="C24" s="33"/>
      <c r="D24" s="33"/>
    </row>
    <row r="25" spans="2:4" ht="35.25" customHeight="1" thickBot="1">
      <c r="B25" s="32"/>
      <c r="C25" s="33"/>
      <c r="D25" s="33"/>
    </row>
    <row r="26" spans="2:4" ht="35.25" customHeight="1" thickBot="1">
      <c r="B26" s="32"/>
      <c r="C26" s="33"/>
      <c r="D26" s="33"/>
    </row>
    <row r="27" spans="2:4" ht="35.25" customHeight="1" thickBot="1">
      <c r="B27" s="32"/>
      <c r="C27" s="33"/>
      <c r="D27" s="33"/>
    </row>
    <row r="28" spans="2:4" ht="35.25" customHeight="1" thickBot="1">
      <c r="B28" s="32"/>
      <c r="C28" s="33"/>
      <c r="D28" s="33"/>
    </row>
    <row r="29" spans="2:4" ht="35.25" customHeight="1" thickBot="1">
      <c r="B29" s="32"/>
      <c r="C29" s="33"/>
      <c r="D29" s="33"/>
    </row>
    <row r="30" spans="2:4" ht="35.25" customHeight="1" thickBot="1">
      <c r="B30" s="32"/>
      <c r="C30" s="33"/>
      <c r="D30" s="33"/>
    </row>
    <row r="31" spans="2:4" ht="35.25" customHeight="1" thickBot="1">
      <c r="B31" s="32"/>
      <c r="C31" s="33"/>
      <c r="D31" s="33"/>
    </row>
    <row r="32" spans="2:4" ht="35.25" customHeight="1" thickBot="1">
      <c r="B32" s="32"/>
      <c r="C32" s="33"/>
      <c r="D32" s="33"/>
    </row>
    <row r="33" spans="2:4" ht="35.25" customHeight="1" thickBot="1">
      <c r="B33" s="32"/>
      <c r="C33" s="33"/>
      <c r="D33" s="33"/>
    </row>
    <row r="34" spans="2:4" ht="35.25" customHeight="1" thickBot="1">
      <c r="B34" s="32"/>
      <c r="C34" s="33"/>
      <c r="D34" s="33"/>
    </row>
    <row r="35" spans="2:4" ht="35.25" customHeight="1" thickBot="1">
      <c r="B35" s="32"/>
      <c r="C35" s="33"/>
      <c r="D35" s="33"/>
    </row>
    <row r="36" spans="2:4" ht="35.25" customHeight="1" thickBot="1">
      <c r="B36" s="32"/>
      <c r="C36" s="33"/>
      <c r="D36" s="33"/>
    </row>
    <row r="37" spans="2:4" ht="35.25" customHeight="1" thickBot="1">
      <c r="B37" s="32"/>
      <c r="C37" s="33"/>
      <c r="D37" s="33"/>
    </row>
    <row r="38" spans="2:4" ht="35.25" customHeight="1" thickBot="1">
      <c r="B38" s="32"/>
      <c r="C38" s="33"/>
      <c r="D38" s="33"/>
    </row>
    <row r="39" spans="2:4" ht="35.25" customHeight="1" thickBot="1">
      <c r="B39" s="32"/>
      <c r="C39" s="33"/>
      <c r="D39" s="33"/>
    </row>
    <row r="40" spans="2:4" ht="35.25" customHeight="1" thickBot="1">
      <c r="B40" s="32"/>
      <c r="C40" s="33"/>
      <c r="D40" s="33"/>
    </row>
    <row r="41" spans="2:4" ht="35.25" customHeight="1" thickBot="1">
      <c r="B41" s="32"/>
      <c r="C41" s="33"/>
      <c r="D41" s="33"/>
    </row>
    <row r="42" spans="2:4" ht="35.25" customHeight="1" thickBot="1">
      <c r="B42" s="32"/>
      <c r="C42" s="33"/>
      <c r="D42" s="33"/>
    </row>
    <row r="43" spans="2:4" ht="35.25" customHeight="1" thickBot="1">
      <c r="B43" s="32"/>
      <c r="C43" s="33"/>
      <c r="D43" s="33"/>
    </row>
    <row r="44" spans="2:4" ht="35.25" customHeight="1" thickBot="1">
      <c r="B44" s="32"/>
      <c r="C44" s="33"/>
      <c r="D44" s="33"/>
    </row>
    <row r="45" spans="2:4" ht="35.25" customHeight="1" thickBot="1">
      <c r="B45" s="32"/>
      <c r="C45" s="33"/>
      <c r="D45" s="33"/>
    </row>
    <row r="46" spans="2:4" ht="35.25" customHeight="1" thickBot="1">
      <c r="B46" s="32"/>
      <c r="C46" s="33"/>
      <c r="D46" s="33"/>
    </row>
    <row r="47" spans="2:4" ht="35.25" customHeight="1" thickBot="1">
      <c r="B47" s="32"/>
      <c r="C47" s="33"/>
      <c r="D47" s="33"/>
    </row>
    <row r="48" spans="2:4" ht="35.25" customHeight="1" thickBot="1">
      <c r="B48" s="32"/>
      <c r="C48" s="33"/>
      <c r="D48" s="33"/>
    </row>
    <row r="49" spans="2:4" ht="35.25" customHeight="1" thickBot="1">
      <c r="B49" s="32"/>
      <c r="C49" s="33"/>
      <c r="D49" s="33"/>
    </row>
    <row r="50" spans="2:4" ht="35.25" customHeight="1" thickBot="1">
      <c r="B50" s="32"/>
      <c r="C50" s="33"/>
      <c r="D50" s="33"/>
    </row>
    <row r="51" spans="2:4" ht="35.25" customHeight="1" thickBot="1">
      <c r="B51" s="32"/>
      <c r="C51" s="33"/>
      <c r="D51" s="33"/>
    </row>
    <row r="52" spans="2:4" ht="35.25" customHeight="1" thickBot="1">
      <c r="B52" s="32"/>
      <c r="C52" s="33"/>
      <c r="D52" s="33"/>
    </row>
    <row r="53" spans="2:4" ht="35.25" customHeight="1" thickBot="1">
      <c r="B53" s="32"/>
      <c r="C53" s="33"/>
      <c r="D53" s="33"/>
    </row>
    <row r="54" spans="2:4" ht="35.25" customHeight="1" thickBot="1">
      <c r="B54" s="32"/>
      <c r="C54" s="33"/>
      <c r="D54" s="33"/>
    </row>
  </sheetData>
  <sheetProtection algorithmName="SHA-512" hashValue="XOrdx030GDGHi+/OIM8fpJvGntb1InuqUxadyua3EEePZjv9/+/mlHiUJvsjOTWN66RimC0w1d02ISQiOL9VLg==" saltValue="91p5hI3MRRyz+4itRtz8cQ==" spinCount="100000" sheet="1" objects="1" scenarios="1"/>
  <mergeCells count="2">
    <mergeCell ref="B1:D1"/>
    <mergeCell ref="B3:D3"/>
  </mergeCells>
  <dataValidations count="1">
    <dataValidation showInputMessage="1" showErrorMessage="1" sqref="D5:D54" xr:uid="{A7905262-73E7-4031-B81C-849B182B609A}"/>
  </dataValidations>
  <pageMargins left="0.23622047244094491" right="0.23622047244094491" top="0.39370078740157483" bottom="0.39370078740157483" header="0.31496062992125984" footer="0.31496062992125984"/>
  <pageSetup paperSize="8" scale="5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481780F97104E8E456BC646045705" ma:contentTypeVersion="15" ma:contentTypeDescription="Create a new document." ma:contentTypeScope="" ma:versionID="8e9a9ff2cdf3fb60391431a6a5102813">
  <xsd:schema xmlns:xsd="http://www.w3.org/2001/XMLSchema" xmlns:xs="http://www.w3.org/2001/XMLSchema" xmlns:p="http://schemas.microsoft.com/office/2006/metadata/properties" xmlns:ns2="36d9ff94-b549-464c-ac71-11e807524b91" xmlns:ns3="77887a3e-a282-4984-89d4-a991f167f9ca" targetNamespace="http://schemas.microsoft.com/office/2006/metadata/properties" ma:root="true" ma:fieldsID="fb03da632f5e2b8c49a9876a52b8c507" ns2:_="" ns3:_="">
    <xsd:import namespace="36d9ff94-b549-464c-ac71-11e807524b91"/>
    <xsd:import namespace="77887a3e-a282-4984-89d4-a991f167f9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9ff94-b549-464c-ac71-11e807524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b37cda-9114-4402-b61b-f009cee9d1f5"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7887a3e-a282-4984-89d4-a991f167f9c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a55b753-2978-42cb-8fb2-f463d6b52489}" ma:internalName="TaxCatchAll" ma:showField="CatchAllData" ma:web="77887a3e-a282-4984-89d4-a991f167f9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887a3e-a282-4984-89d4-a991f167f9ca" xsi:nil="true"/>
    <lcf76f155ced4ddcb4097134ff3c332f xmlns="36d9ff94-b549-464c-ac71-11e807524b9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3C75A7-2CD3-4C67-A0F9-E76546276DE0}"/>
</file>

<file path=customXml/itemProps2.xml><?xml version="1.0" encoding="utf-8"?>
<ds:datastoreItem xmlns:ds="http://schemas.openxmlformats.org/officeDocument/2006/customXml" ds:itemID="{35165452-6023-4A72-9091-87536E94FA0B}"/>
</file>

<file path=customXml/itemProps3.xml><?xml version="1.0" encoding="utf-8"?>
<ds:datastoreItem xmlns:ds="http://schemas.openxmlformats.org/officeDocument/2006/customXml" ds:itemID="{81610D6A-52CD-4F36-A1F3-857EFE53FD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Dobson</dc:creator>
  <cp:keywords/>
  <dc:description/>
  <cp:lastModifiedBy/>
  <cp:revision/>
  <dcterms:created xsi:type="dcterms:W3CDTF">2025-11-23T21:17:03Z</dcterms:created>
  <dcterms:modified xsi:type="dcterms:W3CDTF">2026-07-02T02:08:11Z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0x010100869481780F97104E8E456BC646045705</vt:lpwstr>
  </property>
  <property fmtid="{D5CDD505-2E9C-101B-9397-08002B2CF9AE}" pid="3" name="MediaServiceImageTags">
    <vt:lpwstr/>
  </property>
</Properties>
</file>